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230" tabRatio="788" firstSheet="1" activeTab="1"/>
  </bookViews>
  <sheets>
    <sheet name="Лист3" sheetId="1" state="hidden" r:id="rId1"/>
    <sheet name="Лист1" sheetId="2" r:id="rId2"/>
    <sheet name="Лист2" sheetId="3" r:id="rId3"/>
    <sheet name="Лист 3" sheetId="4" r:id="rId4"/>
    <sheet name="Лист6" sheetId="5" r:id="rId5"/>
    <sheet name="Лист5" sheetId="6" r:id="rId6"/>
    <sheet name="Лист 4" sheetId="7" r:id="rId7"/>
  </sheets>
  <definedNames/>
  <calcPr fullCalcOnLoad="1"/>
</workbook>
</file>

<file path=xl/sharedStrings.xml><?xml version="1.0" encoding="utf-8"?>
<sst xmlns="http://schemas.openxmlformats.org/spreadsheetml/2006/main" count="296" uniqueCount="210">
  <si>
    <t>Расчет баланса металла</t>
  </si>
  <si>
    <t>Наименование</t>
  </si>
  <si>
    <t>Черный</t>
  </si>
  <si>
    <t>вес, кг</t>
  </si>
  <si>
    <t xml:space="preserve">Весовая </t>
  </si>
  <si>
    <t xml:space="preserve">  группа</t>
  </si>
  <si>
    <t xml:space="preserve">Годовое </t>
  </si>
  <si>
    <t>кол-во, шт</t>
  </si>
  <si>
    <t>Всего</t>
  </si>
  <si>
    <t xml:space="preserve">  т/год</t>
  </si>
  <si>
    <t>Итого по цеху:</t>
  </si>
  <si>
    <t xml:space="preserve">Кп = </t>
  </si>
  <si>
    <t>Статьи баланса металла</t>
  </si>
  <si>
    <t>%</t>
  </si>
  <si>
    <t>Тонн в год</t>
  </si>
  <si>
    <t>1  Годное литье</t>
  </si>
  <si>
    <t>2  Литники и прибыли</t>
  </si>
  <si>
    <t>3  Брак</t>
  </si>
  <si>
    <t>4  Скраб и всплеск</t>
  </si>
  <si>
    <t xml:space="preserve">  Жидкий металл</t>
  </si>
  <si>
    <t>5  Угар и безвоз. потери</t>
  </si>
  <si>
    <t xml:space="preserve">    Металлозавалка</t>
  </si>
  <si>
    <t>отливки</t>
  </si>
  <si>
    <t>стержня</t>
  </si>
  <si>
    <t>Расчетная ведомость формовочного отделения</t>
  </si>
  <si>
    <t>сплава</t>
  </si>
  <si>
    <t>группы</t>
  </si>
  <si>
    <t>в год</t>
  </si>
  <si>
    <t>в форме</t>
  </si>
  <si>
    <t>одной</t>
  </si>
  <si>
    <t xml:space="preserve">  Выход годного в % для</t>
  </si>
  <si>
    <t>Наименова -</t>
  </si>
  <si>
    <t>ние отливки</t>
  </si>
  <si>
    <t>Марка</t>
  </si>
  <si>
    <t>N весо -</t>
  </si>
  <si>
    <t>вой</t>
  </si>
  <si>
    <t>Расчетная ведомость стержневого отделения</t>
  </si>
  <si>
    <t>№ и наименование</t>
  </si>
  <si>
    <t>№ стержня</t>
  </si>
  <si>
    <t xml:space="preserve">Число этих </t>
  </si>
  <si>
    <t>№ тех-го потока</t>
  </si>
  <si>
    <t xml:space="preserve">Объем </t>
  </si>
  <si>
    <t>Объем стержня</t>
  </si>
  <si>
    <t>изг-ия стержней.</t>
  </si>
  <si>
    <t>на 1 отл.прогр.</t>
  </si>
  <si>
    <t>стерж. на отл.</t>
  </si>
  <si>
    <t>Вес стерж-</t>
  </si>
  <si>
    <t>ня в кг.</t>
  </si>
  <si>
    <t>Номер вес.</t>
  </si>
  <si>
    <t>гр. стержня</t>
  </si>
  <si>
    <t xml:space="preserve">№ </t>
  </si>
  <si>
    <t>Расчет производственной программы стержневого отделения</t>
  </si>
  <si>
    <t xml:space="preserve">№ отливки и </t>
  </si>
  <si>
    <t>№ тех-гопотока</t>
  </si>
  <si>
    <t>Годовое</t>
  </si>
  <si>
    <t>изг-ия стержней</t>
  </si>
  <si>
    <t>кол-во отл.</t>
  </si>
  <si>
    <t>на 1-у отл.</t>
  </si>
  <si>
    <t>в 1-м ст. ящ.</t>
  </si>
  <si>
    <t>на год. Прогр.</t>
  </si>
  <si>
    <t>Съемов ст. ящ.</t>
  </si>
  <si>
    <t>Ст. смеси, т.</t>
  </si>
  <si>
    <t>1;1</t>
  </si>
  <si>
    <t>1;2</t>
  </si>
  <si>
    <t>2;1</t>
  </si>
  <si>
    <t>2;2</t>
  </si>
  <si>
    <t>3;1</t>
  </si>
  <si>
    <t>3;2</t>
  </si>
  <si>
    <t>4;1</t>
  </si>
  <si>
    <t>4;2</t>
  </si>
  <si>
    <t>5;1</t>
  </si>
  <si>
    <t>5;2</t>
  </si>
  <si>
    <t>6;1</t>
  </si>
  <si>
    <t>6;2</t>
  </si>
  <si>
    <t>7;1</t>
  </si>
  <si>
    <t>8;1</t>
  </si>
  <si>
    <t>8;2</t>
  </si>
  <si>
    <t>9;1</t>
  </si>
  <si>
    <t>Всего по стержневому отделению</t>
  </si>
  <si>
    <t>Годовое количество</t>
  </si>
  <si>
    <t xml:space="preserve">         Количество стержней</t>
  </si>
  <si>
    <t xml:space="preserve">           Вес</t>
  </si>
  <si>
    <t xml:space="preserve">     кг.</t>
  </si>
  <si>
    <t xml:space="preserve">на годовую </t>
  </si>
  <si>
    <t>прогр. в т.</t>
  </si>
  <si>
    <t>Размер опоки</t>
  </si>
  <si>
    <t xml:space="preserve">        мм.</t>
  </si>
  <si>
    <t xml:space="preserve">    в свету,</t>
  </si>
  <si>
    <t>Колич-во</t>
  </si>
  <si>
    <t>отливок</t>
  </si>
  <si>
    <t>форм</t>
  </si>
  <si>
    <t xml:space="preserve">Число </t>
  </si>
  <si>
    <t>Вес</t>
  </si>
  <si>
    <t>Объем форм ,м3</t>
  </si>
  <si>
    <t>на годовую</t>
  </si>
  <si>
    <t>программу</t>
  </si>
  <si>
    <t>Число</t>
  </si>
  <si>
    <t>Всего по 1 - му технологическому  потоку</t>
  </si>
  <si>
    <t>изгот. стерж:</t>
  </si>
  <si>
    <t>Всего по 2 - му технологическому  потоку</t>
  </si>
  <si>
    <t>Всего по 3 - му технологическому  потоку</t>
  </si>
  <si>
    <t>Расчет смесеприготовитнльного отделения</t>
  </si>
  <si>
    <t>№ тех - го</t>
  </si>
  <si>
    <t>потока изг.</t>
  </si>
  <si>
    <t>Размер</t>
  </si>
  <si>
    <t>формы в</t>
  </si>
  <si>
    <t>мм.</t>
  </si>
  <si>
    <t>Годовой вы-</t>
  </si>
  <si>
    <t>пуск отливок</t>
  </si>
  <si>
    <t>т/год</t>
  </si>
  <si>
    <t>Средняя ме-</t>
  </si>
  <si>
    <t>таллоемкость</t>
  </si>
  <si>
    <t>формы, кг.</t>
  </si>
  <si>
    <t>Объем</t>
  </si>
  <si>
    <t xml:space="preserve">одной </t>
  </si>
  <si>
    <t>формы, м3</t>
  </si>
  <si>
    <t>всех</t>
  </si>
  <si>
    <t>металла</t>
  </si>
  <si>
    <t>стержней</t>
  </si>
  <si>
    <t>смеси</t>
  </si>
  <si>
    <t xml:space="preserve">                            в том числе </t>
  </si>
  <si>
    <t>смеси, т/год</t>
  </si>
  <si>
    <t>I</t>
  </si>
  <si>
    <t>II</t>
  </si>
  <si>
    <t>Год. расход</t>
  </si>
  <si>
    <t>формов.</t>
  </si>
  <si>
    <t xml:space="preserve">          и просыпи</t>
  </si>
  <si>
    <t xml:space="preserve">                   Объем  м3</t>
  </si>
  <si>
    <t>Расход формовочной смеси на 1 т. годного литья:</t>
  </si>
  <si>
    <t>2 Хомут тяговый</t>
  </si>
  <si>
    <t>3 Балка надрессорная</t>
  </si>
  <si>
    <t>4 Рама боковая</t>
  </si>
  <si>
    <t xml:space="preserve">5 Поддон </t>
  </si>
  <si>
    <t>6 Корпус буксы</t>
  </si>
  <si>
    <t>7 Корпус автосцепки</t>
  </si>
  <si>
    <t>8 Корпус погл. аппарата</t>
  </si>
  <si>
    <t>9 Пятник верхний</t>
  </si>
  <si>
    <t>МАРКА СПЛАВА 20 ГЛ</t>
  </si>
  <si>
    <t>Итого по 20 ГЛ:</t>
  </si>
  <si>
    <t>МАРКА СПЛАВА 20 ГТЛ</t>
  </si>
  <si>
    <t>Итого по 20 ГТЛ:</t>
  </si>
  <si>
    <t xml:space="preserve"> отливки </t>
  </si>
  <si>
    <t>Расчет металлозавалки для 20 ГЛ</t>
  </si>
  <si>
    <t>Расчет металлозавалки для 20 ГТЛ</t>
  </si>
  <si>
    <t>переводной коэффициент Кп:</t>
  </si>
  <si>
    <t>Таблица 3</t>
  </si>
  <si>
    <t>Продолжение таблицы 3</t>
  </si>
  <si>
    <t>Таблица 2а</t>
  </si>
  <si>
    <t>Таблица 2б</t>
  </si>
  <si>
    <t>Таблица 2в</t>
  </si>
  <si>
    <t>20 ГЛ</t>
  </si>
  <si>
    <t>20 ГТЛ</t>
  </si>
  <si>
    <t>2900*1360*400</t>
  </si>
  <si>
    <t>2580*1700*400</t>
  </si>
  <si>
    <t>1295*1070*450</t>
  </si>
  <si>
    <t>1380*1340*410</t>
  </si>
  <si>
    <t>Таблица 4</t>
  </si>
  <si>
    <t>Таблица 5</t>
  </si>
  <si>
    <t>2;3</t>
  </si>
  <si>
    <t>2;4</t>
  </si>
  <si>
    <t>3;3</t>
  </si>
  <si>
    <t>3;6</t>
  </si>
  <si>
    <t>3;7</t>
  </si>
  <si>
    <t>4;6</t>
  </si>
  <si>
    <t>4;8</t>
  </si>
  <si>
    <t>5;3</t>
  </si>
  <si>
    <t>5;4</t>
  </si>
  <si>
    <t>6;4</t>
  </si>
  <si>
    <t>6;5</t>
  </si>
  <si>
    <t>7;5</t>
  </si>
  <si>
    <t>7;6</t>
  </si>
  <si>
    <t>8;3</t>
  </si>
  <si>
    <t>8;4</t>
  </si>
  <si>
    <t>9;2</t>
  </si>
  <si>
    <t>9;3</t>
  </si>
  <si>
    <t>3;4</t>
  </si>
  <si>
    <t>3;8</t>
  </si>
  <si>
    <t>4;4</t>
  </si>
  <si>
    <t>4;5</t>
  </si>
  <si>
    <t>4;7</t>
  </si>
  <si>
    <t>7;3</t>
  </si>
  <si>
    <t>7;4</t>
  </si>
  <si>
    <t>Продолжение таблицы 5</t>
  </si>
  <si>
    <t>2;5</t>
  </si>
  <si>
    <t>3;5</t>
  </si>
  <si>
    <t>6;3</t>
  </si>
  <si>
    <t>7;7</t>
  </si>
  <si>
    <t>7;8</t>
  </si>
  <si>
    <t>4;3</t>
  </si>
  <si>
    <t>4;9</t>
  </si>
  <si>
    <t>7;2</t>
  </si>
  <si>
    <t>Всего по 4 - му технологическому  потоку</t>
  </si>
  <si>
    <t>III</t>
  </si>
  <si>
    <t>IV</t>
  </si>
  <si>
    <t>2900*1360*400*2</t>
  </si>
  <si>
    <t>2580*1700*400*2</t>
  </si>
  <si>
    <t>1295*1070*450*2</t>
  </si>
  <si>
    <t>1380*1340*410*2</t>
  </si>
  <si>
    <t xml:space="preserve">      Всего по цеху</t>
  </si>
  <si>
    <t xml:space="preserve">     Итого с учетом брака </t>
  </si>
  <si>
    <t>Таблица 6</t>
  </si>
  <si>
    <t xml:space="preserve"> 30 ГСЛ</t>
  </si>
  <si>
    <t>МАРКА СПЛАВА 30 ГСЛ</t>
  </si>
  <si>
    <t>Итого по 30 ГСЛ:</t>
  </si>
  <si>
    <t>Расчет металлозавалки для 30 ГСЛ</t>
  </si>
  <si>
    <t>30 ГСЛ: В =</t>
  </si>
  <si>
    <t>20 ГТЛ: В =</t>
  </si>
  <si>
    <t xml:space="preserve"> 20 ГЛ: В =</t>
  </si>
  <si>
    <t>РАСЧЕТ ПРОГРАММЫ СТАЛЕЛИТЕЙНОГО ЦЕХА НА 30000 Т.</t>
  </si>
  <si>
    <t>1 Клин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</si>
</sst>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0.00;[Red]0.00"/>
    <numFmt numFmtId="177" formatCode="0.000;[Red]0.000"/>
    <numFmt numFmtId="178" formatCode="0.0000000"/>
    <numFmt numFmtId="179" formatCode="0.000000"/>
    <numFmt numFmtId="180" formatCode="0.00000000"/>
    <numFmt numFmtId="181" formatCode="0.000000000"/>
    <numFmt numFmtId="182" formatCode="0.0000000000"/>
  </numFmts>
  <fonts count="44">
    <font>
      <sz val="10"/>
      <name val="Arial Cyr"/>
      <family val="0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i/>
      <u val="single"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1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46" xfId="0" applyBorder="1" applyAlignment="1">
      <alignment horizontal="center"/>
    </xf>
    <xf numFmtId="177" fontId="0" fillId="0" borderId="47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8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176" fontId="0" fillId="0" borderId="0" xfId="0" applyNumberFormat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176" fontId="1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173" fontId="0" fillId="0" borderId="2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/>
    </xf>
    <xf numFmtId="172" fontId="0" fillId="0" borderId="24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176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5.875" style="0" customWidth="1"/>
    <col min="2" max="2" width="12.125" style="0" customWidth="1"/>
    <col min="3" max="3" width="9.75390625" style="0" customWidth="1"/>
    <col min="6" max="6" width="9.625" style="0" customWidth="1"/>
    <col min="7" max="7" width="10.125" style="0" customWidth="1"/>
  </cols>
  <sheetData>
    <row r="3" ht="12.75">
      <c r="B3" t="s">
        <v>208</v>
      </c>
    </row>
    <row r="5" ht="13.5" thickBot="1">
      <c r="D5" t="s">
        <v>0</v>
      </c>
    </row>
    <row r="6" spans="2:7" ht="12.75">
      <c r="B6" s="12" t="s">
        <v>1</v>
      </c>
      <c r="C6" s="7"/>
      <c r="D6" s="8" t="s">
        <v>2</v>
      </c>
      <c r="E6" s="1" t="s">
        <v>4</v>
      </c>
      <c r="F6" s="4" t="s">
        <v>6</v>
      </c>
      <c r="G6" s="8" t="s">
        <v>8</v>
      </c>
    </row>
    <row r="7" spans="2:7" ht="13.5" thickBot="1">
      <c r="B7" s="9" t="s">
        <v>141</v>
      </c>
      <c r="C7" s="10"/>
      <c r="D7" s="11" t="s">
        <v>3</v>
      </c>
      <c r="E7" s="2" t="s">
        <v>5</v>
      </c>
      <c r="F7" s="5" t="s">
        <v>7</v>
      </c>
      <c r="G7" s="11" t="s">
        <v>9</v>
      </c>
    </row>
    <row r="8" spans="2:7" ht="13.5" thickBot="1">
      <c r="B8" s="14"/>
      <c r="C8" s="22"/>
      <c r="D8" s="21" t="s">
        <v>137</v>
      </c>
      <c r="E8" s="20"/>
      <c r="F8" s="19"/>
      <c r="G8" s="3"/>
    </row>
    <row r="9" spans="2:7" ht="12.75">
      <c r="B9" s="1" t="s">
        <v>209</v>
      </c>
      <c r="C9" s="101"/>
      <c r="D9" s="23">
        <v>16</v>
      </c>
      <c r="E9" s="16">
        <v>2</v>
      </c>
      <c r="F9" s="8">
        <v>17625</v>
      </c>
      <c r="G9" s="123">
        <f>D9*F9/1000</f>
        <v>282</v>
      </c>
    </row>
    <row r="10" spans="2:7" ht="12.75">
      <c r="B10" s="95" t="s">
        <v>129</v>
      </c>
      <c r="C10" s="13"/>
      <c r="D10" s="23">
        <v>109.75</v>
      </c>
      <c r="E10" s="16">
        <v>3</v>
      </c>
      <c r="F10" s="18">
        <v>18000</v>
      </c>
      <c r="G10" s="123">
        <f>D10*F10/1000</f>
        <v>1975.5</v>
      </c>
    </row>
    <row r="11" spans="2:7" ht="12.75">
      <c r="B11" s="95" t="s">
        <v>130</v>
      </c>
      <c r="C11" s="13"/>
      <c r="D11" s="23">
        <v>577.75</v>
      </c>
      <c r="E11" s="16">
        <v>4</v>
      </c>
      <c r="F11" s="18">
        <v>18000</v>
      </c>
      <c r="G11" s="123">
        <f>D11*F11/1000</f>
        <v>10399.5</v>
      </c>
    </row>
    <row r="12" spans="2:7" ht="12.75">
      <c r="B12" s="95" t="s">
        <v>131</v>
      </c>
      <c r="C12" s="13"/>
      <c r="D12" s="23">
        <v>417</v>
      </c>
      <c r="E12" s="16">
        <v>4</v>
      </c>
      <c r="F12" s="18">
        <v>18000</v>
      </c>
      <c r="G12" s="123">
        <f>D12*F12/1000</f>
        <v>7506</v>
      </c>
    </row>
    <row r="13" spans="2:11" ht="13.5" thickBot="1">
      <c r="B13" s="2" t="s">
        <v>132</v>
      </c>
      <c r="C13" s="3"/>
      <c r="D13" s="24">
        <v>130.2</v>
      </c>
      <c r="E13" s="9">
        <v>3</v>
      </c>
      <c r="F13" s="11">
        <v>18000</v>
      </c>
      <c r="G13" s="123">
        <f>D13*F13/1000</f>
        <v>2343.6</v>
      </c>
      <c r="I13" s="19"/>
      <c r="J13" s="19"/>
      <c r="K13" s="19"/>
    </row>
    <row r="14" spans="2:11" ht="13.5" thickBot="1">
      <c r="B14" s="30"/>
      <c r="C14" s="19"/>
      <c r="D14" s="22"/>
      <c r="E14" s="26" t="s">
        <v>138</v>
      </c>
      <c r="F14" s="20"/>
      <c r="G14" s="69">
        <f>SUM(G9:G13)</f>
        <v>22506.6</v>
      </c>
      <c r="I14" s="19"/>
      <c r="J14" s="19"/>
      <c r="K14" s="19"/>
    </row>
    <row r="15" spans="2:11" ht="13.5" thickBot="1">
      <c r="B15" s="31"/>
      <c r="C15" s="22"/>
      <c r="D15" s="26" t="s">
        <v>139</v>
      </c>
      <c r="E15" s="22"/>
      <c r="F15" s="25"/>
      <c r="G15" s="68"/>
      <c r="I15" s="19"/>
      <c r="J15" s="19"/>
      <c r="K15" s="19"/>
    </row>
    <row r="16" spans="2:11" ht="12.75">
      <c r="B16" s="95" t="s">
        <v>133</v>
      </c>
      <c r="C16" s="7"/>
      <c r="D16" s="28">
        <v>70.6</v>
      </c>
      <c r="E16" s="6">
        <v>2</v>
      </c>
      <c r="F16" s="8">
        <v>18000</v>
      </c>
      <c r="G16" s="123">
        <f>D16*F16/1000</f>
        <v>1270.8</v>
      </c>
      <c r="I16" s="19"/>
      <c r="J16" s="19"/>
      <c r="K16" s="19"/>
    </row>
    <row r="17" spans="2:11" ht="13.5" thickBot="1">
      <c r="B17" s="95" t="s">
        <v>134</v>
      </c>
      <c r="C17" s="17"/>
      <c r="D17" s="28">
        <v>181.8</v>
      </c>
      <c r="E17" s="16">
        <v>3</v>
      </c>
      <c r="F17" s="11">
        <v>18000</v>
      </c>
      <c r="G17" s="123">
        <f>D17*F17/1000</f>
        <v>3272.4</v>
      </c>
      <c r="I17" s="19"/>
      <c r="J17" s="19"/>
      <c r="K17" s="19"/>
    </row>
    <row r="18" spans="2:11" ht="13.5" thickBot="1">
      <c r="B18" s="14"/>
      <c r="C18" s="22"/>
      <c r="D18" s="22"/>
      <c r="E18" s="26" t="s">
        <v>140</v>
      </c>
      <c r="F18" s="20"/>
      <c r="G18" s="69">
        <f>SUM(G16:G17)</f>
        <v>4543.2</v>
      </c>
      <c r="I18" s="19"/>
      <c r="J18" s="19"/>
      <c r="K18" s="19"/>
    </row>
    <row r="19" spans="2:11" ht="13.5" thickBot="1">
      <c r="B19" s="31"/>
      <c r="C19" s="22"/>
      <c r="D19" s="26" t="s">
        <v>202</v>
      </c>
      <c r="E19" s="22"/>
      <c r="F19" s="25"/>
      <c r="G19" s="68"/>
      <c r="I19" s="19"/>
      <c r="J19" s="19"/>
      <c r="K19" s="19"/>
    </row>
    <row r="20" spans="2:7" ht="12.75">
      <c r="B20" s="95" t="s">
        <v>135</v>
      </c>
      <c r="C20" s="7"/>
      <c r="D20" s="28">
        <v>76</v>
      </c>
      <c r="E20" s="6">
        <v>2</v>
      </c>
      <c r="F20" s="8">
        <v>18000</v>
      </c>
      <c r="G20" s="123">
        <f>D20*F20/1000</f>
        <v>1368</v>
      </c>
    </row>
    <row r="21" spans="2:7" ht="13.5" thickBot="1">
      <c r="B21" s="95" t="s">
        <v>136</v>
      </c>
      <c r="C21" s="17"/>
      <c r="D21" s="28">
        <v>87.9</v>
      </c>
      <c r="E21" s="16">
        <v>2</v>
      </c>
      <c r="F21" s="11">
        <v>18000</v>
      </c>
      <c r="G21" s="123">
        <f>D21*F21/1000</f>
        <v>1582.2</v>
      </c>
    </row>
    <row r="22" spans="2:7" ht="13.5" thickBot="1">
      <c r="B22" s="14"/>
      <c r="C22" s="22"/>
      <c r="D22" s="22"/>
      <c r="E22" s="26" t="s">
        <v>203</v>
      </c>
      <c r="F22" s="20"/>
      <c r="G22" s="69">
        <f>SUM(G20:G21)</f>
        <v>2950.2</v>
      </c>
    </row>
    <row r="23" spans="2:7" ht="13.5" thickBot="1">
      <c r="B23" s="14"/>
      <c r="C23" s="22"/>
      <c r="D23" s="22"/>
      <c r="E23" s="26" t="s">
        <v>10</v>
      </c>
      <c r="F23" s="22"/>
      <c r="G23" s="69">
        <f>G14+G18+G22</f>
        <v>30000</v>
      </c>
    </row>
    <row r="24" spans="2:7" ht="12.75">
      <c r="B24" s="95"/>
      <c r="C24" s="19" t="s">
        <v>144</v>
      </c>
      <c r="E24" s="19"/>
      <c r="F24" s="19"/>
      <c r="G24" s="13"/>
    </row>
    <row r="25" spans="2:7" ht="13.5" thickBot="1">
      <c r="B25" s="2"/>
      <c r="C25" s="125" t="s">
        <v>11</v>
      </c>
      <c r="D25" s="20">
        <f>30000/166.7</f>
        <v>179.9640071985603</v>
      </c>
      <c r="E25" s="20"/>
      <c r="F25" s="61"/>
      <c r="G25" s="3"/>
    </row>
    <row r="26" ht="12.75">
      <c r="H26" s="19"/>
    </row>
    <row r="35" ht="12.75">
      <c r="D35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A8">
      <selection activeCell="B2" sqref="B2:E38"/>
    </sheetView>
  </sheetViews>
  <sheetFormatPr defaultColWidth="9.00390625" defaultRowHeight="12.75"/>
  <cols>
    <col min="1" max="1" width="13.00390625" style="0" customWidth="1"/>
    <col min="3" max="3" width="14.125" style="0" customWidth="1"/>
    <col min="4" max="4" width="10.25390625" style="0" customWidth="1"/>
    <col min="5" max="5" width="10.00390625" style="0" customWidth="1"/>
    <col min="8" max="8" width="14.125" style="0" customWidth="1"/>
    <col min="9" max="9" width="9.875" style="0" customWidth="1"/>
    <col min="10" max="10" width="10.00390625" style="0" customWidth="1"/>
  </cols>
  <sheetData>
    <row r="2" spans="5:10" ht="12.75">
      <c r="E2" s="134" t="s">
        <v>147</v>
      </c>
      <c r="G2" s="19"/>
      <c r="H2" s="19"/>
      <c r="I2" s="19"/>
      <c r="J2" s="177"/>
    </row>
    <row r="3" spans="3:10" ht="12.75">
      <c r="C3" t="s">
        <v>142</v>
      </c>
      <c r="G3" s="19"/>
      <c r="H3" s="19"/>
      <c r="I3" s="19"/>
      <c r="J3" s="19"/>
    </row>
    <row r="4" spans="2:10" ht="12.75">
      <c r="B4" s="35" t="s">
        <v>12</v>
      </c>
      <c r="C4" s="36"/>
      <c r="D4" s="43" t="s">
        <v>13</v>
      </c>
      <c r="E4" s="44" t="s">
        <v>14</v>
      </c>
      <c r="G4" s="19"/>
      <c r="H4" s="19"/>
      <c r="I4" s="58"/>
      <c r="J4" s="19"/>
    </row>
    <row r="5" spans="2:10" ht="12.75">
      <c r="B5" s="38" t="s">
        <v>15</v>
      </c>
      <c r="C5" s="41"/>
      <c r="D5" s="45">
        <f>D11-D10-D8-D7-D6</f>
        <v>68.23</v>
      </c>
      <c r="E5" s="47">
        <v>22506.6</v>
      </c>
      <c r="G5" s="19"/>
      <c r="H5" s="19"/>
      <c r="I5" s="58"/>
      <c r="J5" s="28"/>
    </row>
    <row r="6" spans="2:10" ht="12.75">
      <c r="B6" s="39" t="s">
        <v>16</v>
      </c>
      <c r="C6" s="19"/>
      <c r="D6" s="45">
        <v>20.38</v>
      </c>
      <c r="E6" s="47">
        <f>D6*E11/D11</f>
        <v>6722.622131027406</v>
      </c>
      <c r="G6" s="19"/>
      <c r="H6" s="19"/>
      <c r="I6" s="58"/>
      <c r="J6" s="28"/>
    </row>
    <row r="7" spans="2:10" ht="12.75">
      <c r="B7" s="39" t="s">
        <v>17</v>
      </c>
      <c r="C7" s="19"/>
      <c r="D7" s="45">
        <v>4</v>
      </c>
      <c r="E7" s="47">
        <f>D7*E11/D11</f>
        <v>1319.454785285065</v>
      </c>
      <c r="G7" s="19"/>
      <c r="H7" s="19"/>
      <c r="I7" s="58"/>
      <c r="J7" s="28"/>
    </row>
    <row r="8" spans="2:10" ht="12.75">
      <c r="B8" s="39" t="s">
        <v>18</v>
      </c>
      <c r="C8" s="19"/>
      <c r="D8" s="45">
        <v>2.39</v>
      </c>
      <c r="E8" s="47">
        <f>D8*E11/D11</f>
        <v>788.3742342078264</v>
      </c>
      <c r="G8" s="19"/>
      <c r="H8" s="19"/>
      <c r="I8" s="58"/>
      <c r="J8" s="28"/>
    </row>
    <row r="9" spans="2:10" ht="12.75">
      <c r="B9" s="35" t="s">
        <v>19</v>
      </c>
      <c r="C9" s="36"/>
      <c r="D9" s="43"/>
      <c r="E9" s="48">
        <f>SUM(E5:E8)</f>
        <v>31337.051150520296</v>
      </c>
      <c r="G9" s="19"/>
      <c r="H9" s="19"/>
      <c r="I9" s="58"/>
      <c r="J9" s="28"/>
    </row>
    <row r="10" spans="2:10" ht="12.75">
      <c r="B10" s="40" t="s">
        <v>20</v>
      </c>
      <c r="C10" s="42"/>
      <c r="D10" s="45">
        <v>5</v>
      </c>
      <c r="E10" s="47">
        <f>D10*E11/D11</f>
        <v>1649.3184816063313</v>
      </c>
      <c r="G10" s="19"/>
      <c r="H10" s="19"/>
      <c r="I10" s="58"/>
      <c r="J10" s="28"/>
    </row>
    <row r="11" spans="2:10" ht="12.75">
      <c r="B11" s="35" t="s">
        <v>21</v>
      </c>
      <c r="C11" s="37"/>
      <c r="D11" s="46">
        <v>100</v>
      </c>
      <c r="E11" s="49">
        <f>E5*D11/D5</f>
        <v>32986.369632126625</v>
      </c>
      <c r="G11" s="19"/>
      <c r="H11" s="19"/>
      <c r="I11" s="58"/>
      <c r="J11" s="28"/>
    </row>
    <row r="12" spans="2:10" ht="13.5" thickBot="1">
      <c r="B12" s="53" t="s">
        <v>30</v>
      </c>
      <c r="C12" s="53"/>
      <c r="D12" s="53" t="s">
        <v>207</v>
      </c>
      <c r="E12" s="124">
        <f>E5/E11*D11</f>
        <v>68.23</v>
      </c>
      <c r="G12" s="19"/>
      <c r="H12" s="19"/>
      <c r="I12" s="19"/>
      <c r="J12" s="78"/>
    </row>
    <row r="13" spans="2:10" ht="13.5" thickTop="1">
      <c r="B13" s="19"/>
      <c r="C13" s="19"/>
      <c r="D13" s="19"/>
      <c r="E13" s="78"/>
      <c r="G13" s="19"/>
      <c r="H13" s="19"/>
      <c r="I13" s="19"/>
      <c r="J13" s="78"/>
    </row>
    <row r="14" spans="5:10" ht="12.75">
      <c r="E14" s="134"/>
      <c r="G14" s="19"/>
      <c r="H14" s="19"/>
      <c r="I14" s="19"/>
      <c r="J14" s="177"/>
    </row>
    <row r="15" spans="7:10" ht="12.75">
      <c r="G15" s="19"/>
      <c r="H15" s="19"/>
      <c r="I15" s="19"/>
      <c r="J15" s="19"/>
    </row>
    <row r="16" spans="5:10" ht="12.75">
      <c r="E16" s="134" t="s">
        <v>148</v>
      </c>
      <c r="G16" s="19"/>
      <c r="H16" s="19"/>
      <c r="I16" s="58"/>
      <c r="J16" s="19"/>
    </row>
    <row r="17" spans="2:10" ht="12.75">
      <c r="B17" t="s">
        <v>143</v>
      </c>
      <c r="G17" s="19"/>
      <c r="H17" s="19"/>
      <c r="I17" s="58"/>
      <c r="J17" s="28"/>
    </row>
    <row r="18" spans="2:10" ht="12.75">
      <c r="B18" s="35" t="s">
        <v>12</v>
      </c>
      <c r="C18" s="36"/>
      <c r="D18" s="43" t="s">
        <v>13</v>
      </c>
      <c r="E18" s="37" t="s">
        <v>14</v>
      </c>
      <c r="G18" s="19"/>
      <c r="H18" s="19"/>
      <c r="I18" s="58"/>
      <c r="J18" s="28"/>
    </row>
    <row r="19" spans="2:10" ht="12.75">
      <c r="B19" s="39" t="s">
        <v>15</v>
      </c>
      <c r="C19" s="19"/>
      <c r="D19" s="45">
        <f>D25-D24-D22-D21-D20</f>
        <v>65.02</v>
      </c>
      <c r="E19" s="50">
        <v>4543.2</v>
      </c>
      <c r="G19" s="19"/>
      <c r="H19" s="19"/>
      <c r="I19" s="58"/>
      <c r="J19" s="28"/>
    </row>
    <row r="20" spans="2:10" ht="12.75">
      <c r="B20" s="39" t="s">
        <v>16</v>
      </c>
      <c r="C20" s="19"/>
      <c r="D20" s="45">
        <v>23.42</v>
      </c>
      <c r="E20" s="50">
        <f>D20*E25/D25</f>
        <v>1636.4463857274686</v>
      </c>
      <c r="G20" s="19"/>
      <c r="H20" s="19"/>
      <c r="I20" s="58"/>
      <c r="J20" s="28"/>
    </row>
    <row r="21" spans="2:10" ht="12.75">
      <c r="B21" s="39" t="s">
        <v>17</v>
      </c>
      <c r="C21" s="19"/>
      <c r="D21" s="45">
        <v>4</v>
      </c>
      <c r="E21" s="50">
        <f>D21*E25/D25</f>
        <v>279.4955398338973</v>
      </c>
      <c r="G21" s="19"/>
      <c r="H21" s="19"/>
      <c r="I21" s="58"/>
      <c r="J21" s="28"/>
    </row>
    <row r="22" spans="2:10" ht="12.75">
      <c r="B22" s="39" t="s">
        <v>18</v>
      </c>
      <c r="C22" s="19"/>
      <c r="D22" s="45">
        <v>2.56</v>
      </c>
      <c r="E22" s="50">
        <f>D22*E25/D25</f>
        <v>178.87714549369426</v>
      </c>
      <c r="G22" s="19"/>
      <c r="H22" s="19"/>
      <c r="I22" s="58"/>
      <c r="J22" s="28"/>
    </row>
    <row r="23" spans="2:10" ht="12.75">
      <c r="B23" s="35" t="s">
        <v>19</v>
      </c>
      <c r="C23" s="36"/>
      <c r="D23" s="43"/>
      <c r="E23" s="51">
        <f>SUM(E19:E22)</f>
        <v>6638.01907105506</v>
      </c>
      <c r="G23" s="19"/>
      <c r="H23" s="19"/>
      <c r="I23" s="58"/>
      <c r="J23" s="28"/>
    </row>
    <row r="24" spans="2:10" ht="12.75">
      <c r="B24" s="39" t="s">
        <v>20</v>
      </c>
      <c r="C24" s="19"/>
      <c r="D24" s="45">
        <v>5</v>
      </c>
      <c r="E24" s="50">
        <f>D24*E25/D25</f>
        <v>349.36942479237155</v>
      </c>
      <c r="G24" s="19"/>
      <c r="H24" s="19"/>
      <c r="I24" s="19"/>
      <c r="J24" s="78"/>
    </row>
    <row r="25" spans="2:5" ht="12.75">
      <c r="B25" s="40" t="s">
        <v>21</v>
      </c>
      <c r="C25" s="42"/>
      <c r="D25" s="46">
        <v>100</v>
      </c>
      <c r="E25" s="52">
        <f>E19*D25/D19</f>
        <v>6987.388495847432</v>
      </c>
    </row>
    <row r="26" spans="2:5" ht="12.75">
      <c r="B26" s="41" t="s">
        <v>30</v>
      </c>
      <c r="C26" s="41"/>
      <c r="D26" s="41" t="s">
        <v>206</v>
      </c>
      <c r="E26" s="176">
        <f>E19/E25*D25</f>
        <v>65.02</v>
      </c>
    </row>
    <row r="27" spans="2:5" ht="12.75">
      <c r="B27" s="19"/>
      <c r="C27" s="19"/>
      <c r="D27" s="19"/>
      <c r="E27" s="177"/>
    </row>
    <row r="28" ht="12.75">
      <c r="E28" s="134" t="s">
        <v>149</v>
      </c>
    </row>
    <row r="29" ht="12.75">
      <c r="C29" t="s">
        <v>204</v>
      </c>
    </row>
    <row r="30" spans="2:5" ht="12.75">
      <c r="B30" s="35" t="s">
        <v>12</v>
      </c>
      <c r="C30" s="36"/>
      <c r="D30" s="43" t="s">
        <v>13</v>
      </c>
      <c r="E30" s="37" t="s">
        <v>14</v>
      </c>
    </row>
    <row r="31" spans="2:5" ht="12.75">
      <c r="B31" s="39" t="s">
        <v>15</v>
      </c>
      <c r="C31" s="19"/>
      <c r="D31" s="45">
        <f>D37-D36-D34-D33-D32</f>
        <v>64.35000000000001</v>
      </c>
      <c r="E31" s="50">
        <v>2950.2</v>
      </c>
    </row>
    <row r="32" spans="2:5" ht="12.75">
      <c r="B32" s="39" t="s">
        <v>16</v>
      </c>
      <c r="C32" s="19"/>
      <c r="D32" s="45">
        <v>24.38</v>
      </c>
      <c r="E32" s="50">
        <f>D32*E37/D37</f>
        <v>1117.7292307692305</v>
      </c>
    </row>
    <row r="33" spans="2:5" ht="12.75">
      <c r="B33" s="39" t="s">
        <v>17</v>
      </c>
      <c r="C33" s="19"/>
      <c r="D33" s="45">
        <v>4</v>
      </c>
      <c r="E33" s="50">
        <f>D33*E37/D37</f>
        <v>183.38461538461536</v>
      </c>
    </row>
    <row r="34" spans="2:5" ht="12.75">
      <c r="B34" s="39" t="s">
        <v>18</v>
      </c>
      <c r="C34" s="19"/>
      <c r="D34" s="45">
        <v>2.27</v>
      </c>
      <c r="E34" s="50">
        <f>D34*E37/D37</f>
        <v>104.07076923076922</v>
      </c>
    </row>
    <row r="35" spans="2:5" ht="12.75">
      <c r="B35" s="35" t="s">
        <v>19</v>
      </c>
      <c r="C35" s="36"/>
      <c r="D35" s="43"/>
      <c r="E35" s="51">
        <f>SUM(E31:E34)</f>
        <v>4355.384615384615</v>
      </c>
    </row>
    <row r="36" spans="2:5" ht="12.75">
      <c r="B36" s="39" t="s">
        <v>20</v>
      </c>
      <c r="C36" s="19"/>
      <c r="D36" s="45">
        <v>5</v>
      </c>
      <c r="E36" s="50">
        <f>D36*E37/D37</f>
        <v>229.23076923076917</v>
      </c>
    </row>
    <row r="37" spans="2:5" ht="12.75">
      <c r="B37" s="40" t="s">
        <v>21</v>
      </c>
      <c r="C37" s="42"/>
      <c r="D37" s="46">
        <v>100</v>
      </c>
      <c r="E37" s="52">
        <f>E31*D37/D31</f>
        <v>4584.615384615384</v>
      </c>
    </row>
    <row r="38" spans="2:5" ht="13.5" thickBot="1">
      <c r="B38" s="53" t="s">
        <v>30</v>
      </c>
      <c r="C38" s="53"/>
      <c r="D38" s="53" t="s">
        <v>205</v>
      </c>
      <c r="E38" s="124">
        <f>E31/E37*D37</f>
        <v>64.35000000000001</v>
      </c>
    </row>
    <row r="39" ht="13.5" thickTop="1"/>
  </sheetData>
  <sheetProtection/>
  <printOptions/>
  <pageMargins left="1.05" right="0.75" top="1.6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6"/>
  <sheetViews>
    <sheetView zoomScalePageLayoutView="0" workbookViewId="0" topLeftCell="B1">
      <selection activeCell="B3" sqref="B3:J65"/>
    </sheetView>
  </sheetViews>
  <sheetFormatPr defaultColWidth="9.00390625" defaultRowHeight="12.75"/>
  <cols>
    <col min="1" max="1" width="12.75390625" style="0" customWidth="1"/>
    <col min="3" max="3" width="13.00390625" style="0" customWidth="1"/>
    <col min="4" max="4" width="7.875" style="0" customWidth="1"/>
    <col min="5" max="5" width="10.00390625" style="0" customWidth="1"/>
    <col min="6" max="6" width="10.75390625" style="0" customWidth="1"/>
    <col min="7" max="7" width="12.625" style="0" customWidth="1"/>
    <col min="8" max="8" width="14.125" style="0" customWidth="1"/>
    <col min="9" max="9" width="7.625" style="33" customWidth="1"/>
    <col min="10" max="10" width="14.00390625" style="129" customWidth="1"/>
  </cols>
  <sheetData>
    <row r="3" ht="12" customHeight="1">
      <c r="J3" s="134" t="s">
        <v>145</v>
      </c>
    </row>
    <row r="4" spans="3:6" ht="16.5" thickBot="1">
      <c r="C4" s="65"/>
      <c r="D4" s="65"/>
      <c r="E4" s="70" t="s">
        <v>36</v>
      </c>
      <c r="F4" s="65"/>
    </row>
    <row r="5" spans="2:10" ht="12.75">
      <c r="B5" s="1" t="s">
        <v>37</v>
      </c>
      <c r="C5" s="71"/>
      <c r="D5" s="83" t="s">
        <v>50</v>
      </c>
      <c r="E5" s="72" t="s">
        <v>46</v>
      </c>
      <c r="F5" s="72" t="s">
        <v>48</v>
      </c>
      <c r="G5" s="71" t="s">
        <v>39</v>
      </c>
      <c r="H5" s="71" t="s">
        <v>40</v>
      </c>
      <c r="I5" s="88" t="s">
        <v>41</v>
      </c>
      <c r="J5" s="130" t="s">
        <v>42</v>
      </c>
    </row>
    <row r="6" spans="2:10" ht="12.75">
      <c r="B6" s="73" t="s">
        <v>22</v>
      </c>
      <c r="C6" s="74"/>
      <c r="D6" s="75" t="s">
        <v>23</v>
      </c>
      <c r="E6" s="46" t="s">
        <v>47</v>
      </c>
      <c r="F6" s="75" t="s">
        <v>49</v>
      </c>
      <c r="G6" s="74" t="s">
        <v>45</v>
      </c>
      <c r="H6" s="74" t="s">
        <v>43</v>
      </c>
      <c r="I6" s="86" t="s">
        <v>23</v>
      </c>
      <c r="J6" s="131" t="s">
        <v>44</v>
      </c>
    </row>
    <row r="7" spans="2:10" ht="12.75">
      <c r="B7" s="95" t="s">
        <v>209</v>
      </c>
      <c r="C7" s="76"/>
      <c r="D7" s="45">
        <v>1</v>
      </c>
      <c r="E7" s="84">
        <v>10.3</v>
      </c>
      <c r="F7" s="45">
        <v>2</v>
      </c>
      <c r="G7" s="80">
        <v>1</v>
      </c>
      <c r="H7" s="85">
        <v>2</v>
      </c>
      <c r="I7" s="89">
        <f>E7/1.65</f>
        <v>6.242424242424243</v>
      </c>
      <c r="J7" s="104"/>
    </row>
    <row r="8" spans="2:10" ht="12.75">
      <c r="B8" s="73"/>
      <c r="C8" s="74"/>
      <c r="D8" s="46">
        <v>2</v>
      </c>
      <c r="E8" s="49">
        <v>11</v>
      </c>
      <c r="F8" s="46">
        <v>2</v>
      </c>
      <c r="G8" s="81">
        <v>1</v>
      </c>
      <c r="H8" s="86">
        <v>2</v>
      </c>
      <c r="I8" s="90">
        <f>E8/1.65</f>
        <v>6.666666666666667</v>
      </c>
      <c r="J8" s="132">
        <f>I7+I8</f>
        <v>12.90909090909091</v>
      </c>
    </row>
    <row r="9" spans="2:10" ht="12.75">
      <c r="B9" s="95" t="s">
        <v>129</v>
      </c>
      <c r="C9" s="76"/>
      <c r="D9" s="45">
        <v>1</v>
      </c>
      <c r="E9" s="45">
        <v>5.53</v>
      </c>
      <c r="F9" s="45">
        <v>1</v>
      </c>
      <c r="G9" s="80">
        <v>1</v>
      </c>
      <c r="H9" s="85">
        <v>1</v>
      </c>
      <c r="I9" s="91">
        <f aca="true" t="shared" si="0" ref="I9:I58">E9/1.65</f>
        <v>3.351515151515152</v>
      </c>
      <c r="J9" s="104"/>
    </row>
    <row r="10" spans="2:10" ht="12.75">
      <c r="B10" s="95"/>
      <c r="C10" s="76"/>
      <c r="D10" s="45">
        <v>2</v>
      </c>
      <c r="E10" s="45">
        <v>5.53</v>
      </c>
      <c r="F10" s="45">
        <v>1</v>
      </c>
      <c r="G10" s="80">
        <v>1</v>
      </c>
      <c r="H10" s="85">
        <v>1</v>
      </c>
      <c r="I10" s="91">
        <f t="shared" si="0"/>
        <v>3.351515151515152</v>
      </c>
      <c r="J10" s="104"/>
    </row>
    <row r="11" spans="2:10" ht="12.75">
      <c r="B11" s="95"/>
      <c r="C11" s="76"/>
      <c r="D11" s="45">
        <v>3</v>
      </c>
      <c r="E11" s="45">
        <v>2.9</v>
      </c>
      <c r="F11" s="45">
        <v>1</v>
      </c>
      <c r="G11" s="80">
        <v>1</v>
      </c>
      <c r="H11" s="85">
        <v>1</v>
      </c>
      <c r="I11" s="91">
        <f t="shared" si="0"/>
        <v>1.7575757575757576</v>
      </c>
      <c r="J11" s="104"/>
    </row>
    <row r="12" spans="2:10" ht="12.75">
      <c r="B12" s="95"/>
      <c r="C12" s="76"/>
      <c r="D12" s="45">
        <v>4</v>
      </c>
      <c r="E12" s="45">
        <v>1.3</v>
      </c>
      <c r="F12" s="45">
        <v>1</v>
      </c>
      <c r="G12" s="80">
        <v>1</v>
      </c>
      <c r="H12" s="85">
        <v>1</v>
      </c>
      <c r="I12" s="91">
        <f t="shared" si="0"/>
        <v>0.787878787878788</v>
      </c>
      <c r="J12" s="104"/>
    </row>
    <row r="13" spans="2:10" ht="12.75">
      <c r="B13" s="73"/>
      <c r="C13" s="74"/>
      <c r="D13" s="46">
        <v>5</v>
      </c>
      <c r="E13" s="46">
        <v>6.05</v>
      </c>
      <c r="F13" s="46">
        <v>1</v>
      </c>
      <c r="G13" s="81">
        <v>1</v>
      </c>
      <c r="H13" s="86">
        <v>3</v>
      </c>
      <c r="I13" s="127">
        <f t="shared" si="0"/>
        <v>3.666666666666667</v>
      </c>
      <c r="J13" s="132">
        <f>I9+I10+I11+I12+I13</f>
        <v>12.915151515151514</v>
      </c>
    </row>
    <row r="14" spans="2:10" ht="12.75">
      <c r="B14" s="95" t="s">
        <v>130</v>
      </c>
      <c r="C14" s="19"/>
      <c r="D14" s="126">
        <v>1</v>
      </c>
      <c r="E14" s="126">
        <v>7.4</v>
      </c>
      <c r="F14" s="80">
        <v>1</v>
      </c>
      <c r="G14" s="80">
        <v>2</v>
      </c>
      <c r="H14" s="85">
        <v>1</v>
      </c>
      <c r="I14" s="91">
        <f t="shared" si="0"/>
        <v>4.484848484848485</v>
      </c>
      <c r="J14" s="104"/>
    </row>
    <row r="15" spans="2:10" ht="12.75">
      <c r="B15" s="95"/>
      <c r="C15" s="19"/>
      <c r="D15" s="45">
        <v>2</v>
      </c>
      <c r="E15" s="45">
        <v>7.3</v>
      </c>
      <c r="F15" s="80">
        <v>1</v>
      </c>
      <c r="G15" s="80">
        <v>1</v>
      </c>
      <c r="H15" s="85">
        <v>1</v>
      </c>
      <c r="I15" s="91">
        <f t="shared" si="0"/>
        <v>4.424242424242425</v>
      </c>
      <c r="J15" s="104"/>
    </row>
    <row r="16" spans="2:10" ht="12.75">
      <c r="B16" s="95"/>
      <c r="C16" s="19"/>
      <c r="D16" s="45">
        <v>3</v>
      </c>
      <c r="E16" s="45">
        <v>58</v>
      </c>
      <c r="F16" s="80">
        <v>3</v>
      </c>
      <c r="G16" s="80">
        <v>2</v>
      </c>
      <c r="H16" s="85">
        <v>2</v>
      </c>
      <c r="I16" s="91">
        <f t="shared" si="0"/>
        <v>35.151515151515156</v>
      </c>
      <c r="J16" s="104"/>
    </row>
    <row r="17" spans="2:10" ht="12.75">
      <c r="B17" s="95"/>
      <c r="C17" s="19"/>
      <c r="D17" s="45">
        <v>4</v>
      </c>
      <c r="E17" s="85">
        <v>67.3</v>
      </c>
      <c r="F17" s="45">
        <v>3</v>
      </c>
      <c r="G17" s="80">
        <v>2</v>
      </c>
      <c r="H17" s="85">
        <v>2</v>
      </c>
      <c r="I17" s="91">
        <f t="shared" si="0"/>
        <v>40.78787878787879</v>
      </c>
      <c r="J17" s="104"/>
    </row>
    <row r="18" spans="2:10" ht="12.75">
      <c r="B18" s="95"/>
      <c r="C18" s="19"/>
      <c r="D18" s="45">
        <v>5</v>
      </c>
      <c r="E18" s="45">
        <v>40.2</v>
      </c>
      <c r="F18" s="80">
        <v>3</v>
      </c>
      <c r="G18" s="80">
        <v>1</v>
      </c>
      <c r="H18" s="85">
        <v>3</v>
      </c>
      <c r="I18" s="91">
        <f t="shared" si="0"/>
        <v>24.363636363636367</v>
      </c>
      <c r="J18" s="104"/>
    </row>
    <row r="19" spans="2:10" ht="12.75">
      <c r="B19" s="95"/>
      <c r="C19" s="19"/>
      <c r="D19" s="45">
        <v>6</v>
      </c>
      <c r="E19" s="45">
        <v>0.3</v>
      </c>
      <c r="F19" s="80">
        <v>1</v>
      </c>
      <c r="G19" s="80">
        <v>4</v>
      </c>
      <c r="H19" s="85">
        <v>1</v>
      </c>
      <c r="I19" s="91">
        <f t="shared" si="0"/>
        <v>0.18181818181818182</v>
      </c>
      <c r="J19" s="104"/>
    </row>
    <row r="20" spans="2:10" ht="12.75">
      <c r="B20" s="95"/>
      <c r="C20" s="19"/>
      <c r="D20" s="45">
        <v>7</v>
      </c>
      <c r="E20" s="45">
        <v>2.4</v>
      </c>
      <c r="F20" s="80">
        <v>1</v>
      </c>
      <c r="G20" s="80">
        <v>1</v>
      </c>
      <c r="H20" s="85">
        <v>1</v>
      </c>
      <c r="I20" s="91">
        <f t="shared" si="0"/>
        <v>1.4545454545454546</v>
      </c>
      <c r="J20" s="104"/>
    </row>
    <row r="21" spans="2:10" ht="12.75">
      <c r="B21" s="73"/>
      <c r="C21" s="42"/>
      <c r="D21" s="46">
        <v>8</v>
      </c>
      <c r="E21" s="46">
        <v>9.6</v>
      </c>
      <c r="F21" s="81">
        <v>1</v>
      </c>
      <c r="G21" s="81">
        <v>1</v>
      </c>
      <c r="H21" s="86">
        <v>2</v>
      </c>
      <c r="I21" s="90">
        <f>E21/1.65</f>
        <v>5.818181818181818</v>
      </c>
      <c r="J21" s="132">
        <f>I14+I15+I16+I17+I18+I19+I20+I21</f>
        <v>116.66666666666667</v>
      </c>
    </row>
    <row r="22" spans="2:10" ht="12.75">
      <c r="B22" s="95" t="s">
        <v>131</v>
      </c>
      <c r="C22" s="19"/>
      <c r="D22" s="45">
        <v>1</v>
      </c>
      <c r="E22" s="80">
        <v>6.5</v>
      </c>
      <c r="F22" s="45">
        <v>1</v>
      </c>
      <c r="G22" s="80">
        <v>1</v>
      </c>
      <c r="H22" s="85">
        <v>1</v>
      </c>
      <c r="I22" s="91">
        <f t="shared" si="0"/>
        <v>3.9393939393939394</v>
      </c>
      <c r="J22" s="104"/>
    </row>
    <row r="23" spans="2:10" ht="12.75">
      <c r="B23" s="95"/>
      <c r="C23" s="19"/>
      <c r="D23" s="45">
        <v>2</v>
      </c>
      <c r="E23" s="80">
        <v>22</v>
      </c>
      <c r="F23" s="45">
        <v>2</v>
      </c>
      <c r="G23" s="80">
        <v>2</v>
      </c>
      <c r="H23" s="85">
        <v>3</v>
      </c>
      <c r="I23" s="91">
        <f t="shared" si="0"/>
        <v>13.333333333333334</v>
      </c>
      <c r="J23" s="104"/>
    </row>
    <row r="24" spans="2:10" ht="12.75">
      <c r="B24" s="95"/>
      <c r="C24" s="19"/>
      <c r="D24" s="45">
        <v>3</v>
      </c>
      <c r="E24" s="80">
        <v>13</v>
      </c>
      <c r="F24" s="45">
        <v>2</v>
      </c>
      <c r="G24" s="80">
        <v>2</v>
      </c>
      <c r="H24" s="85">
        <v>4</v>
      </c>
      <c r="I24" s="91">
        <f t="shared" si="0"/>
        <v>7.878787878787879</v>
      </c>
      <c r="J24" s="104"/>
    </row>
    <row r="25" spans="2:10" ht="12.75">
      <c r="B25" s="95"/>
      <c r="C25" s="19"/>
      <c r="D25" s="45">
        <v>4</v>
      </c>
      <c r="E25" s="80">
        <v>43.4</v>
      </c>
      <c r="F25" s="45">
        <v>2</v>
      </c>
      <c r="G25" s="80">
        <v>1</v>
      </c>
      <c r="H25" s="85">
        <v>2</v>
      </c>
      <c r="I25" s="91">
        <f t="shared" si="0"/>
        <v>26.303030303030305</v>
      </c>
      <c r="J25" s="104"/>
    </row>
    <row r="26" spans="2:10" ht="12.75">
      <c r="B26" s="95"/>
      <c r="C26" s="19"/>
      <c r="D26" s="45">
        <v>5</v>
      </c>
      <c r="E26" s="80">
        <v>13.9</v>
      </c>
      <c r="F26" s="45">
        <v>2</v>
      </c>
      <c r="G26" s="80">
        <v>1</v>
      </c>
      <c r="H26" s="85">
        <v>2</v>
      </c>
      <c r="I26" s="91">
        <f t="shared" si="0"/>
        <v>8.424242424242426</v>
      </c>
      <c r="J26" s="104"/>
    </row>
    <row r="27" spans="2:10" ht="12.75">
      <c r="B27" s="95"/>
      <c r="C27" s="19"/>
      <c r="D27" s="45">
        <v>6</v>
      </c>
      <c r="E27" s="80">
        <v>9.1</v>
      </c>
      <c r="F27" s="45">
        <v>1</v>
      </c>
      <c r="G27" s="80">
        <v>1</v>
      </c>
      <c r="H27" s="85">
        <v>1</v>
      </c>
      <c r="I27" s="91">
        <f t="shared" si="0"/>
        <v>5.515151515151516</v>
      </c>
      <c r="J27" s="104"/>
    </row>
    <row r="28" spans="2:10" ht="12.75">
      <c r="B28" s="95"/>
      <c r="C28" s="19"/>
      <c r="D28" s="45">
        <v>7</v>
      </c>
      <c r="E28" s="80">
        <v>18</v>
      </c>
      <c r="F28" s="45">
        <v>2</v>
      </c>
      <c r="G28" s="80">
        <v>1</v>
      </c>
      <c r="H28" s="85">
        <v>2</v>
      </c>
      <c r="I28" s="91">
        <f t="shared" si="0"/>
        <v>10.90909090909091</v>
      </c>
      <c r="J28" s="104"/>
    </row>
    <row r="29" spans="2:10" ht="12.75">
      <c r="B29" s="95"/>
      <c r="C29" s="19"/>
      <c r="D29" s="45">
        <v>8</v>
      </c>
      <c r="E29" s="80">
        <v>0.81</v>
      </c>
      <c r="F29" s="45">
        <v>1</v>
      </c>
      <c r="G29" s="80">
        <v>1</v>
      </c>
      <c r="H29" s="85">
        <v>1</v>
      </c>
      <c r="I29" s="91">
        <f t="shared" si="0"/>
        <v>0.49090909090909096</v>
      </c>
      <c r="J29" s="104"/>
    </row>
    <row r="30" spans="2:10" ht="12.75">
      <c r="B30" s="73"/>
      <c r="C30" s="42"/>
      <c r="D30" s="46">
        <v>9</v>
      </c>
      <c r="E30" s="81">
        <v>20</v>
      </c>
      <c r="F30" s="46">
        <v>2</v>
      </c>
      <c r="G30" s="81">
        <v>1</v>
      </c>
      <c r="H30" s="86">
        <v>4</v>
      </c>
      <c r="I30" s="127">
        <f t="shared" si="0"/>
        <v>12.121212121212121</v>
      </c>
      <c r="J30" s="132">
        <f>I22+I23+I24+I25+I26+I27+I28+I29+I30</f>
        <v>88.9151515151515</v>
      </c>
    </row>
    <row r="31" spans="2:10" ht="12.75">
      <c r="B31" s="95" t="s">
        <v>132</v>
      </c>
      <c r="C31" s="76"/>
      <c r="D31" s="45">
        <v>1</v>
      </c>
      <c r="E31" s="45">
        <v>0.713</v>
      </c>
      <c r="F31" s="45">
        <v>1</v>
      </c>
      <c r="G31" s="80">
        <v>2</v>
      </c>
      <c r="H31" s="85">
        <v>1</v>
      </c>
      <c r="I31" s="91">
        <f t="shared" si="0"/>
        <v>0.43212121212121213</v>
      </c>
      <c r="J31" s="104"/>
    </row>
    <row r="32" spans="2:10" ht="12.75">
      <c r="B32" s="95"/>
      <c r="C32" s="76"/>
      <c r="D32" s="45">
        <v>2</v>
      </c>
      <c r="E32" s="45">
        <v>0.38</v>
      </c>
      <c r="F32" s="45">
        <v>1</v>
      </c>
      <c r="G32" s="80">
        <v>2</v>
      </c>
      <c r="H32" s="85">
        <v>1</v>
      </c>
      <c r="I32" s="91">
        <f t="shared" si="0"/>
        <v>0.23030303030303031</v>
      </c>
      <c r="J32" s="104"/>
    </row>
    <row r="33" spans="2:10" ht="12.75">
      <c r="B33" s="95"/>
      <c r="C33" s="76"/>
      <c r="D33" s="45">
        <v>3</v>
      </c>
      <c r="E33" s="45">
        <v>0.82</v>
      </c>
      <c r="F33" s="45">
        <v>1</v>
      </c>
      <c r="G33" s="80">
        <v>2</v>
      </c>
      <c r="H33" s="85">
        <v>1</v>
      </c>
      <c r="I33" s="91">
        <f t="shared" si="0"/>
        <v>0.49696969696969695</v>
      </c>
      <c r="J33" s="104"/>
    </row>
    <row r="34" spans="2:10" ht="12.75">
      <c r="B34" s="73"/>
      <c r="C34" s="74"/>
      <c r="D34" s="46">
        <v>4</v>
      </c>
      <c r="E34" s="46">
        <v>0.55</v>
      </c>
      <c r="F34" s="46">
        <v>1</v>
      </c>
      <c r="G34" s="81">
        <v>2</v>
      </c>
      <c r="H34" s="86">
        <v>1</v>
      </c>
      <c r="I34" s="127">
        <f t="shared" si="0"/>
        <v>0.33333333333333337</v>
      </c>
      <c r="J34" s="132">
        <f>I31++I32+I33+I34</f>
        <v>1.4927272727272727</v>
      </c>
    </row>
    <row r="35" spans="10:12" ht="12.75">
      <c r="J35" s="98"/>
      <c r="K35" s="58"/>
      <c r="L35" s="19"/>
    </row>
    <row r="36" spans="10:12" ht="12.75">
      <c r="J36" s="98"/>
      <c r="K36" s="58"/>
      <c r="L36" s="19"/>
    </row>
    <row r="37" spans="10:12" ht="12.75">
      <c r="J37" s="98"/>
      <c r="K37" s="58"/>
      <c r="L37" s="19"/>
    </row>
    <row r="38" spans="10:12" ht="12.75">
      <c r="J38" s="98"/>
      <c r="K38" s="58"/>
      <c r="L38" s="19"/>
    </row>
    <row r="39" spans="10:12" ht="12.75">
      <c r="J39" s="98"/>
      <c r="K39" s="58"/>
      <c r="L39" s="19"/>
    </row>
    <row r="40" spans="2:11" ht="12.75">
      <c r="B40" s="19"/>
      <c r="C40" s="19"/>
      <c r="D40" s="58"/>
      <c r="E40" s="58"/>
      <c r="F40" s="58"/>
      <c r="G40" s="58"/>
      <c r="H40" s="58"/>
      <c r="I40" s="128"/>
      <c r="J40" s="99"/>
      <c r="K40" s="58"/>
    </row>
    <row r="41" spans="2:11" ht="12.75">
      <c r="B41" s="19"/>
      <c r="C41" s="19"/>
      <c r="D41" s="58"/>
      <c r="E41" s="58"/>
      <c r="F41" s="58"/>
      <c r="G41" s="58"/>
      <c r="H41" s="58"/>
      <c r="I41" s="128"/>
      <c r="J41" s="99"/>
      <c r="K41" s="58"/>
    </row>
    <row r="42" spans="2:11" ht="12.75">
      <c r="B42" s="19"/>
      <c r="C42" s="19"/>
      <c r="D42" s="58"/>
      <c r="E42" s="58"/>
      <c r="F42" s="58"/>
      <c r="G42" s="58"/>
      <c r="H42" s="58"/>
      <c r="I42" s="128"/>
      <c r="J42" s="99"/>
      <c r="K42" s="58"/>
    </row>
    <row r="43" spans="2:11" ht="13.5" thickBot="1">
      <c r="B43" s="19"/>
      <c r="C43" s="19"/>
      <c r="D43" s="58"/>
      <c r="E43" s="58"/>
      <c r="F43" s="58"/>
      <c r="H43" s="58"/>
      <c r="I43" s="96" t="s">
        <v>146</v>
      </c>
      <c r="J43" s="99"/>
      <c r="K43" s="58"/>
    </row>
    <row r="44" spans="1:11" ht="12.75">
      <c r="A44" s="19"/>
      <c r="B44" s="1" t="s">
        <v>37</v>
      </c>
      <c r="C44" s="71"/>
      <c r="D44" s="83" t="s">
        <v>50</v>
      </c>
      <c r="E44" s="72" t="s">
        <v>46</v>
      </c>
      <c r="F44" s="72" t="s">
        <v>48</v>
      </c>
      <c r="G44" s="71" t="s">
        <v>39</v>
      </c>
      <c r="H44" s="71" t="s">
        <v>40</v>
      </c>
      <c r="I44" s="88" t="s">
        <v>41</v>
      </c>
      <c r="J44" s="130" t="s">
        <v>42</v>
      </c>
      <c r="K44" s="58"/>
    </row>
    <row r="45" spans="1:11" ht="12.75">
      <c r="A45" s="19"/>
      <c r="B45" s="73" t="s">
        <v>22</v>
      </c>
      <c r="C45" s="74"/>
      <c r="D45" s="75" t="s">
        <v>23</v>
      </c>
      <c r="E45" s="46" t="s">
        <v>47</v>
      </c>
      <c r="F45" s="75" t="s">
        <v>49</v>
      </c>
      <c r="G45" s="74" t="s">
        <v>45</v>
      </c>
      <c r="H45" s="74" t="s">
        <v>43</v>
      </c>
      <c r="I45" s="86" t="s">
        <v>23</v>
      </c>
      <c r="J45" s="131" t="s">
        <v>44</v>
      </c>
      <c r="K45" s="58"/>
    </row>
    <row r="46" spans="1:11" ht="12.75">
      <c r="A46" s="19"/>
      <c r="B46" s="95" t="s">
        <v>133</v>
      </c>
      <c r="C46" s="76"/>
      <c r="D46" s="45">
        <v>1</v>
      </c>
      <c r="E46" s="58">
        <v>14.8</v>
      </c>
      <c r="F46" s="45">
        <v>2</v>
      </c>
      <c r="G46" s="80">
        <v>1</v>
      </c>
      <c r="H46" s="85">
        <v>2</v>
      </c>
      <c r="I46" s="91">
        <f>E46/1.65</f>
        <v>8.96969696969697</v>
      </c>
      <c r="J46" s="133"/>
      <c r="K46" s="58"/>
    </row>
    <row r="47" spans="1:11" ht="12.75">
      <c r="A47" s="19"/>
      <c r="B47" s="95"/>
      <c r="C47" s="76"/>
      <c r="D47" s="45">
        <v>2</v>
      </c>
      <c r="E47" s="58">
        <v>5.6</v>
      </c>
      <c r="F47" s="45">
        <v>1</v>
      </c>
      <c r="G47" s="80">
        <v>1</v>
      </c>
      <c r="H47" s="85">
        <v>3</v>
      </c>
      <c r="I47" s="91">
        <f>E47/1.65</f>
        <v>3.393939393939394</v>
      </c>
      <c r="J47" s="104"/>
      <c r="K47" s="58"/>
    </row>
    <row r="48" spans="1:11" ht="12.75">
      <c r="A48" s="19"/>
      <c r="B48" s="95"/>
      <c r="C48" s="76"/>
      <c r="D48" s="45">
        <v>3</v>
      </c>
      <c r="E48" s="58">
        <v>5.6</v>
      </c>
      <c r="F48" s="45">
        <v>1</v>
      </c>
      <c r="G48" s="80">
        <v>1</v>
      </c>
      <c r="H48" s="85">
        <v>3</v>
      </c>
      <c r="I48" s="91">
        <f>E48/1.65</f>
        <v>3.393939393939394</v>
      </c>
      <c r="J48" s="104"/>
      <c r="K48" s="58"/>
    </row>
    <row r="49" spans="1:11" ht="12.75">
      <c r="A49" s="19"/>
      <c r="B49" s="95"/>
      <c r="C49" s="76"/>
      <c r="D49" s="45">
        <v>4</v>
      </c>
      <c r="E49" s="58">
        <v>0.25</v>
      </c>
      <c r="F49" s="45">
        <v>1</v>
      </c>
      <c r="G49" s="80">
        <v>2</v>
      </c>
      <c r="H49" s="85">
        <v>1</v>
      </c>
      <c r="I49" s="91">
        <f>E49/1.65</f>
        <v>0.15151515151515152</v>
      </c>
      <c r="J49" s="104"/>
      <c r="K49" s="58"/>
    </row>
    <row r="50" spans="1:11" ht="12.75">
      <c r="A50" s="19"/>
      <c r="B50" s="73"/>
      <c r="C50" s="74"/>
      <c r="D50" s="46">
        <v>5</v>
      </c>
      <c r="E50" s="46">
        <v>1.8</v>
      </c>
      <c r="F50" s="46">
        <v>1</v>
      </c>
      <c r="G50" s="81">
        <v>1</v>
      </c>
      <c r="H50" s="86">
        <v>1</v>
      </c>
      <c r="I50" s="90">
        <f>E50/1.65</f>
        <v>1.090909090909091</v>
      </c>
      <c r="J50" s="132">
        <f>I46+I47+I48+I49+I50</f>
        <v>17.000000000000004</v>
      </c>
      <c r="K50" s="58"/>
    </row>
    <row r="51" spans="2:10" ht="12.75">
      <c r="B51" s="95" t="s">
        <v>134</v>
      </c>
      <c r="C51" s="19"/>
      <c r="D51" s="45">
        <v>1</v>
      </c>
      <c r="E51" s="45">
        <v>6.07</v>
      </c>
      <c r="F51" s="45">
        <v>1</v>
      </c>
      <c r="G51" s="58">
        <v>1</v>
      </c>
      <c r="H51" s="85">
        <v>1</v>
      </c>
      <c r="I51" s="91">
        <f t="shared" si="0"/>
        <v>3.678787878787879</v>
      </c>
      <c r="J51" s="104"/>
    </row>
    <row r="52" spans="2:10" ht="12.75">
      <c r="B52" s="95"/>
      <c r="C52" s="19"/>
      <c r="D52" s="45">
        <v>2</v>
      </c>
      <c r="E52" s="45">
        <v>13.8</v>
      </c>
      <c r="F52" s="45">
        <v>2</v>
      </c>
      <c r="G52" s="58">
        <v>1</v>
      </c>
      <c r="H52" s="85">
        <v>4</v>
      </c>
      <c r="I52" s="91">
        <f t="shared" si="0"/>
        <v>8.363636363636365</v>
      </c>
      <c r="J52" s="104"/>
    </row>
    <row r="53" spans="2:10" ht="12.75">
      <c r="B53" s="95"/>
      <c r="C53" s="19"/>
      <c r="D53" s="45">
        <v>3</v>
      </c>
      <c r="E53" s="45">
        <v>26.4</v>
      </c>
      <c r="F53" s="45">
        <v>2</v>
      </c>
      <c r="G53" s="58">
        <v>1</v>
      </c>
      <c r="H53" s="85">
        <v>2</v>
      </c>
      <c r="I53" s="91">
        <f t="shared" si="0"/>
        <v>16</v>
      </c>
      <c r="J53" s="104"/>
    </row>
    <row r="54" spans="2:10" ht="12.75">
      <c r="B54" s="95"/>
      <c r="C54" s="19"/>
      <c r="D54" s="45">
        <v>4</v>
      </c>
      <c r="E54" s="45">
        <v>23.6</v>
      </c>
      <c r="F54" s="45">
        <v>2</v>
      </c>
      <c r="G54" s="58">
        <v>1</v>
      </c>
      <c r="H54" s="85">
        <v>2</v>
      </c>
      <c r="I54" s="91">
        <f t="shared" si="0"/>
        <v>14.303030303030305</v>
      </c>
      <c r="J54" s="104"/>
    </row>
    <row r="55" spans="2:10" ht="12.75">
      <c r="B55" s="95"/>
      <c r="C55" s="19"/>
      <c r="D55" s="45">
        <v>5</v>
      </c>
      <c r="E55" s="45">
        <v>1.54</v>
      </c>
      <c r="F55" s="45">
        <v>1</v>
      </c>
      <c r="G55" s="58">
        <v>1</v>
      </c>
      <c r="H55" s="85">
        <v>1</v>
      </c>
      <c r="I55" s="91">
        <f t="shared" si="0"/>
        <v>0.9333333333333335</v>
      </c>
      <c r="J55" s="104"/>
    </row>
    <row r="56" spans="2:10" ht="12.75">
      <c r="B56" s="95"/>
      <c r="C56" s="19"/>
      <c r="D56" s="45">
        <v>6</v>
      </c>
      <c r="E56" s="58">
        <v>0.43</v>
      </c>
      <c r="F56" s="45">
        <v>1</v>
      </c>
      <c r="G56" s="58">
        <v>1</v>
      </c>
      <c r="H56" s="85">
        <v>1</v>
      </c>
      <c r="I56" s="91">
        <f t="shared" si="0"/>
        <v>0.2606060606060606</v>
      </c>
      <c r="J56" s="104"/>
    </row>
    <row r="57" spans="2:10" ht="12.75">
      <c r="B57" s="95"/>
      <c r="C57" s="19"/>
      <c r="D57" s="45">
        <v>7</v>
      </c>
      <c r="E57" s="58">
        <v>8.7</v>
      </c>
      <c r="F57" s="45">
        <v>1</v>
      </c>
      <c r="G57" s="58">
        <v>1</v>
      </c>
      <c r="H57" s="85">
        <v>3</v>
      </c>
      <c r="I57" s="91">
        <f t="shared" si="0"/>
        <v>5.2727272727272725</v>
      </c>
      <c r="J57" s="104"/>
    </row>
    <row r="58" spans="2:10" ht="13.5" thickBot="1">
      <c r="B58" s="73"/>
      <c r="C58" s="42"/>
      <c r="D58" s="46">
        <v>8</v>
      </c>
      <c r="E58" s="109">
        <v>7</v>
      </c>
      <c r="F58" s="46">
        <v>1</v>
      </c>
      <c r="G58" s="109">
        <v>1</v>
      </c>
      <c r="H58" s="86">
        <v>3</v>
      </c>
      <c r="I58" s="90">
        <f t="shared" si="0"/>
        <v>4.242424242424242</v>
      </c>
      <c r="J58" s="103">
        <f>I51+I52+I53+I54+I55+I56+I57+I58</f>
        <v>53.054545454545455</v>
      </c>
    </row>
    <row r="59" spans="2:10" ht="12.75">
      <c r="B59" s="95" t="s">
        <v>135</v>
      </c>
      <c r="C59" s="76"/>
      <c r="D59" s="45">
        <v>1</v>
      </c>
      <c r="E59" s="45">
        <v>21</v>
      </c>
      <c r="F59" s="45">
        <v>2</v>
      </c>
      <c r="G59" s="80">
        <v>1</v>
      </c>
      <c r="H59" s="85">
        <v>2</v>
      </c>
      <c r="I59" s="91">
        <f aca="true" t="shared" si="1" ref="I59:I65">E59/1.65</f>
        <v>12.727272727272728</v>
      </c>
      <c r="J59" s="104"/>
    </row>
    <row r="60" spans="2:10" ht="12.75">
      <c r="B60" s="95"/>
      <c r="C60" s="76"/>
      <c r="D60" s="45">
        <v>2</v>
      </c>
      <c r="E60" s="45">
        <v>21</v>
      </c>
      <c r="F60" s="45">
        <v>2</v>
      </c>
      <c r="G60" s="80">
        <v>1</v>
      </c>
      <c r="H60" s="85">
        <v>2</v>
      </c>
      <c r="I60" s="91">
        <f t="shared" si="1"/>
        <v>12.727272727272728</v>
      </c>
      <c r="J60" s="104"/>
    </row>
    <row r="61" spans="2:10" ht="12.75">
      <c r="B61" s="95"/>
      <c r="C61" s="76"/>
      <c r="D61" s="45">
        <v>3</v>
      </c>
      <c r="E61" s="45">
        <v>0.45</v>
      </c>
      <c r="F61" s="45">
        <v>1</v>
      </c>
      <c r="G61" s="80">
        <v>1</v>
      </c>
      <c r="H61" s="85">
        <v>1</v>
      </c>
      <c r="I61" s="91">
        <f t="shared" si="1"/>
        <v>0.27272727272727276</v>
      </c>
      <c r="J61" s="104"/>
    </row>
    <row r="62" spans="2:10" ht="12.75">
      <c r="B62" s="73"/>
      <c r="C62" s="74"/>
      <c r="D62" s="46">
        <v>4</v>
      </c>
      <c r="E62" s="46">
        <v>0.45</v>
      </c>
      <c r="F62" s="46">
        <v>1</v>
      </c>
      <c r="G62" s="81">
        <v>1</v>
      </c>
      <c r="H62" s="86">
        <v>1</v>
      </c>
      <c r="I62" s="127">
        <f t="shared" si="1"/>
        <v>0.27272727272727276</v>
      </c>
      <c r="J62" s="132">
        <f>I59+I60+I61+I62</f>
        <v>26.000000000000004</v>
      </c>
    </row>
    <row r="63" spans="2:10" ht="12.75">
      <c r="B63" s="95" t="s">
        <v>136</v>
      </c>
      <c r="C63" s="76"/>
      <c r="D63" s="45">
        <v>1</v>
      </c>
      <c r="E63" s="45">
        <v>1.4</v>
      </c>
      <c r="F63" s="45">
        <v>2</v>
      </c>
      <c r="G63" s="80">
        <v>1</v>
      </c>
      <c r="H63" s="85">
        <v>2</v>
      </c>
      <c r="I63" s="91">
        <f t="shared" si="1"/>
        <v>0.8484848484848485</v>
      </c>
      <c r="J63" s="104"/>
    </row>
    <row r="64" spans="2:10" ht="12.75">
      <c r="B64" s="95"/>
      <c r="C64" s="76"/>
      <c r="D64" s="45">
        <v>2</v>
      </c>
      <c r="E64" s="45">
        <v>1.6</v>
      </c>
      <c r="F64" s="45">
        <v>1</v>
      </c>
      <c r="G64" s="80">
        <v>1</v>
      </c>
      <c r="H64" s="85">
        <v>1</v>
      </c>
      <c r="I64" s="91">
        <f t="shared" si="1"/>
        <v>0.9696969696969698</v>
      </c>
      <c r="J64" s="104"/>
    </row>
    <row r="65" spans="2:10" ht="13.5" thickBot="1">
      <c r="B65" s="2"/>
      <c r="C65" s="77"/>
      <c r="D65" s="79">
        <v>3</v>
      </c>
      <c r="E65" s="79">
        <v>0.72</v>
      </c>
      <c r="F65" s="79">
        <v>1</v>
      </c>
      <c r="G65" s="82">
        <v>1</v>
      </c>
      <c r="H65" s="87">
        <v>1</v>
      </c>
      <c r="I65" s="92">
        <f t="shared" si="1"/>
        <v>0.4363636363636364</v>
      </c>
      <c r="J65" s="103">
        <f>I63+I64+I65</f>
        <v>2.254545454545455</v>
      </c>
    </row>
    <row r="66" spans="1:2" ht="12.75">
      <c r="A66" s="19"/>
      <c r="B66" s="78"/>
    </row>
    <row r="67" spans="1:2" ht="12.75">
      <c r="A67" s="19"/>
      <c r="B67" s="78"/>
    </row>
    <row r="68" spans="1:2" ht="12.75">
      <c r="A68" s="19"/>
      <c r="B68" s="78"/>
    </row>
    <row r="69" ht="12.75">
      <c r="B69" s="78"/>
    </row>
    <row r="70" ht="12.75">
      <c r="B70" s="78"/>
    </row>
    <row r="71" ht="12.75">
      <c r="B71" s="78"/>
    </row>
    <row r="72" ht="12.75">
      <c r="B72" s="78"/>
    </row>
    <row r="73" spans="1:2" ht="12.75">
      <c r="A73" s="19"/>
      <c r="B73" s="78"/>
    </row>
    <row r="74" spans="1:2" ht="12.75">
      <c r="A74" s="19"/>
      <c r="B74" s="78"/>
    </row>
    <row r="75" spans="1:2" ht="12.75">
      <c r="A75" s="19"/>
      <c r="B75" s="78"/>
    </row>
    <row r="76" spans="1:2" ht="12.75">
      <c r="A76" s="19"/>
      <c r="B76" s="78"/>
    </row>
  </sheetData>
  <sheetProtection/>
  <printOptions/>
  <pageMargins left="1.23" right="0.7874015748031497" top="0.9055118110236221" bottom="0.6692913385826772" header="0.7480314960629921" footer="0.6692913385826772"/>
  <pageSetup fitToHeight="2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9.375" style="0" customWidth="1"/>
    <col min="2" max="2" width="14.75390625" style="0" customWidth="1"/>
    <col min="3" max="3" width="11.625" style="0" customWidth="1"/>
    <col min="4" max="4" width="6.75390625" style="0" customWidth="1"/>
    <col min="5" max="5" width="12.00390625" style="0" customWidth="1"/>
    <col min="6" max="6" width="9.375" style="0" customWidth="1"/>
    <col min="7" max="7" width="9.25390625" style="0" customWidth="1"/>
    <col min="8" max="8" width="7.75390625" style="0" customWidth="1"/>
    <col min="9" max="9" width="8.375" style="0" customWidth="1"/>
    <col min="10" max="10" width="9.875" style="0" customWidth="1"/>
    <col min="11" max="11" width="11.125" style="0" customWidth="1"/>
  </cols>
  <sheetData>
    <row r="2" ht="14.25" customHeight="1">
      <c r="J2" t="s">
        <v>200</v>
      </c>
    </row>
    <row r="3" spans="2:6" ht="18.75" thickBot="1">
      <c r="B3" s="120" t="s">
        <v>101</v>
      </c>
      <c r="C3" s="120"/>
      <c r="D3" s="120"/>
      <c r="E3" s="120"/>
      <c r="F3" s="120"/>
    </row>
    <row r="4" spans="1:11" ht="13.5" thickBot="1">
      <c r="A4" s="6" t="s">
        <v>102</v>
      </c>
      <c r="B4" s="8" t="s">
        <v>104</v>
      </c>
      <c r="C4" s="60" t="s">
        <v>107</v>
      </c>
      <c r="D4" s="8" t="s">
        <v>91</v>
      </c>
      <c r="E4" s="8" t="s">
        <v>110</v>
      </c>
      <c r="F4" s="8" t="s">
        <v>113</v>
      </c>
      <c r="G4" s="63" t="s">
        <v>127</v>
      </c>
      <c r="H4" s="64"/>
      <c r="I4" s="64"/>
      <c r="J4" s="64"/>
      <c r="K4" s="8" t="s">
        <v>124</v>
      </c>
    </row>
    <row r="5" spans="1:11" ht="13.5" thickBot="1">
      <c r="A5" s="16" t="s">
        <v>103</v>
      </c>
      <c r="B5" s="18" t="s">
        <v>105</v>
      </c>
      <c r="C5" s="58" t="s">
        <v>108</v>
      </c>
      <c r="D5" s="18" t="s">
        <v>90</v>
      </c>
      <c r="E5" s="18" t="s">
        <v>111</v>
      </c>
      <c r="F5" s="18" t="s">
        <v>114</v>
      </c>
      <c r="G5" s="8" t="s">
        <v>116</v>
      </c>
      <c r="H5" s="63" t="s">
        <v>120</v>
      </c>
      <c r="I5" s="64"/>
      <c r="J5" s="64"/>
      <c r="K5" s="18" t="s">
        <v>125</v>
      </c>
    </row>
    <row r="6" spans="1:11" ht="13.5" thickBot="1">
      <c r="A6" s="9" t="s">
        <v>90</v>
      </c>
      <c r="B6" s="11" t="s">
        <v>106</v>
      </c>
      <c r="C6" s="61" t="s">
        <v>109</v>
      </c>
      <c r="D6" s="11" t="s">
        <v>27</v>
      </c>
      <c r="E6" s="11" t="s">
        <v>112</v>
      </c>
      <c r="F6" s="11" t="s">
        <v>115</v>
      </c>
      <c r="G6" s="9" t="s">
        <v>90</v>
      </c>
      <c r="H6" s="32" t="s">
        <v>117</v>
      </c>
      <c r="I6" s="32" t="s">
        <v>118</v>
      </c>
      <c r="J6" s="68" t="s">
        <v>119</v>
      </c>
      <c r="K6" s="11" t="s">
        <v>121</v>
      </c>
    </row>
    <row r="7" spans="1:11" ht="18" customHeight="1" thickBot="1">
      <c r="A7" s="163" t="s">
        <v>122</v>
      </c>
      <c r="B7" s="158" t="s">
        <v>194</v>
      </c>
      <c r="C7" s="69">
        <v>10399.5</v>
      </c>
      <c r="D7" s="18">
        <v>9000</v>
      </c>
      <c r="E7" s="23">
        <f>C7*1000/D7</f>
        <v>1155.5</v>
      </c>
      <c r="F7" s="160">
        <f>2.9*1.36*0.4*2</f>
        <v>3.1552000000000002</v>
      </c>
      <c r="G7" s="27">
        <f>D7*F7</f>
        <v>28396.800000000003</v>
      </c>
      <c r="H7" s="69">
        <f>C7/7.9</f>
        <v>1316.392405063291</v>
      </c>
      <c r="I7" s="32">
        <f>2325.98/1.68</f>
        <v>1384.5119047619048</v>
      </c>
      <c r="J7" s="29">
        <f>G7-H7-I7</f>
        <v>25695.895690174806</v>
      </c>
      <c r="K7" s="69">
        <f>J7/0.65</f>
        <v>39532.147215653546</v>
      </c>
    </row>
    <row r="8" spans="1:11" ht="16.5" customHeight="1" thickBot="1">
      <c r="A8" s="164" t="s">
        <v>123</v>
      </c>
      <c r="B8" s="156" t="s">
        <v>195</v>
      </c>
      <c r="C8" s="122">
        <v>7506</v>
      </c>
      <c r="D8" s="32">
        <v>9000</v>
      </c>
      <c r="E8" s="69">
        <f>C8*1000/D8</f>
        <v>834</v>
      </c>
      <c r="F8" s="161">
        <f>2.58*1.7*0.4*2</f>
        <v>3.5088000000000004</v>
      </c>
      <c r="G8" s="155">
        <f>D8*F8</f>
        <v>31579.200000000004</v>
      </c>
      <c r="H8" s="69">
        <f>C8/7.9</f>
        <v>950.126582278481</v>
      </c>
      <c r="I8">
        <f>14031.03/1.68</f>
        <v>8351.803571428572</v>
      </c>
      <c r="J8" s="29">
        <f>G8-H8-I8</f>
        <v>22277.26984629295</v>
      </c>
      <c r="K8" s="55">
        <f>J8/0.65</f>
        <v>34272.72284045069</v>
      </c>
    </row>
    <row r="9" spans="1:11" ht="16.5" customHeight="1" thickBot="1">
      <c r="A9" s="164" t="s">
        <v>192</v>
      </c>
      <c r="B9" s="158" t="s">
        <v>196</v>
      </c>
      <c r="C9" s="121">
        <v>6125.4</v>
      </c>
      <c r="D9" s="8">
        <v>18000</v>
      </c>
      <c r="E9" s="69">
        <f>C9*1000/D9</f>
        <v>340.3</v>
      </c>
      <c r="F9" s="162">
        <f>1.295*1.07*0.45*2</f>
        <v>1.247085</v>
      </c>
      <c r="G9" s="122">
        <f>D9*F9</f>
        <v>22447.53</v>
      </c>
      <c r="H9" s="69">
        <f>C9/7.9</f>
        <v>775.3670886075948</v>
      </c>
      <c r="I9" s="4">
        <f>3346.02/1.68</f>
        <v>1991.6785714285716</v>
      </c>
      <c r="J9" s="29">
        <f>G9-H9-I9</f>
        <v>19680.48433996383</v>
      </c>
      <c r="K9" s="55">
        <f>J9/0.65</f>
        <v>30277.66821532897</v>
      </c>
    </row>
    <row r="10" spans="1:11" ht="16.5" customHeight="1" thickBot="1">
      <c r="A10" s="165" t="s">
        <v>193</v>
      </c>
      <c r="B10" s="157" t="s">
        <v>197</v>
      </c>
      <c r="C10" s="121">
        <v>5969.1</v>
      </c>
      <c r="D10" s="8">
        <v>23906</v>
      </c>
      <c r="E10" s="23">
        <f>C10*1000/D10</f>
        <v>249.69045427926045</v>
      </c>
      <c r="F10" s="162">
        <f>1.38*1.34*0.41*2</f>
        <v>1.516344</v>
      </c>
      <c r="G10" s="122">
        <f>D10*F10</f>
        <v>36249.719664</v>
      </c>
      <c r="H10" s="69">
        <f>C10/7.9</f>
        <v>755.5822784810126</v>
      </c>
      <c r="I10" s="66">
        <f>1645.76/1.68</f>
        <v>979.6190476190477</v>
      </c>
      <c r="J10" s="29">
        <f>G10-H10-I10</f>
        <v>34514.518337899935</v>
      </c>
      <c r="K10" s="55">
        <f>J10/0.65</f>
        <v>53099.25898138451</v>
      </c>
    </row>
    <row r="11" spans="1:11" ht="17.25" customHeight="1" thickBot="1">
      <c r="A11" s="148" t="s">
        <v>198</v>
      </c>
      <c r="B11" s="159"/>
      <c r="C11" s="155">
        <f>SUM(C7:C10)</f>
        <v>30000</v>
      </c>
      <c r="D11" s="8">
        <f>SUM(D7:D10)</f>
        <v>59906</v>
      </c>
      <c r="E11" s="1"/>
      <c r="F11" s="25"/>
      <c r="G11" s="167"/>
      <c r="H11" s="25"/>
      <c r="I11" s="25"/>
      <c r="J11" s="166"/>
      <c r="K11" s="55">
        <f>SUM(K7:K10)</f>
        <v>157181.79725281772</v>
      </c>
    </row>
    <row r="12" spans="1:11" ht="15.75" customHeight="1">
      <c r="A12" s="95" t="s">
        <v>199</v>
      </c>
      <c r="B12" s="19"/>
      <c r="C12" s="55"/>
      <c r="D12" s="4"/>
      <c r="E12" s="25"/>
      <c r="F12" s="25"/>
      <c r="G12" s="25"/>
      <c r="H12" s="25"/>
      <c r="I12" s="25"/>
      <c r="J12" s="25"/>
      <c r="K12" s="55"/>
    </row>
    <row r="13" spans="1:11" ht="13.5" thickBot="1">
      <c r="A13" s="2" t="s">
        <v>126</v>
      </c>
      <c r="B13" s="20"/>
      <c r="C13" s="11">
        <f>C11*1.08</f>
        <v>32400.000000000004</v>
      </c>
      <c r="D13" s="11">
        <f>D11*1.08</f>
        <v>64698.48</v>
      </c>
      <c r="E13" s="20"/>
      <c r="F13" s="20"/>
      <c r="G13" s="20"/>
      <c r="H13" s="20"/>
      <c r="I13" s="20"/>
      <c r="J13" s="20"/>
      <c r="K13" s="24">
        <f>K11*1.08</f>
        <v>169756.34103304314</v>
      </c>
    </row>
    <row r="15" spans="2:6" ht="12.75">
      <c r="B15" t="s">
        <v>128</v>
      </c>
      <c r="F15" s="27">
        <f>K13/20000</f>
        <v>8.487817051652156</v>
      </c>
    </row>
    <row r="19" ht="12.75">
      <c r="F19" s="98"/>
    </row>
    <row r="20" ht="12.75">
      <c r="G20" s="98"/>
    </row>
    <row r="21" ht="12.75">
      <c r="E21" s="98"/>
    </row>
  </sheetData>
  <sheetProtection/>
  <printOptions/>
  <pageMargins left="2.06" right="0.75" top="1.86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:I61"/>
    </sheetView>
  </sheetViews>
  <sheetFormatPr defaultColWidth="9.00390625" defaultRowHeight="12.75"/>
  <cols>
    <col min="1" max="1" width="6.875" style="0" customWidth="1"/>
    <col min="5" max="5" width="9.375" style="0" customWidth="1"/>
    <col min="6" max="6" width="11.75390625" style="0" customWidth="1"/>
    <col min="7" max="7" width="12.375" style="0" customWidth="1"/>
    <col min="8" max="8" width="13.875" style="0" customWidth="1"/>
    <col min="9" max="9" width="11.375" style="0" customWidth="1"/>
  </cols>
  <sheetData>
    <row r="1" spans="9:11" ht="12.75">
      <c r="I1" t="s">
        <v>157</v>
      </c>
      <c r="K1" s="58"/>
    </row>
    <row r="2" spans="3:11" ht="16.5" thickBot="1">
      <c r="C2" s="93" t="s">
        <v>51</v>
      </c>
      <c r="K2" s="98"/>
    </row>
    <row r="3" spans="2:11" ht="13.5" thickBot="1">
      <c r="B3" s="1" t="s">
        <v>52</v>
      </c>
      <c r="C3" s="4" t="s">
        <v>53</v>
      </c>
      <c r="D3" s="4" t="s">
        <v>54</v>
      </c>
      <c r="E3" s="25" t="s">
        <v>80</v>
      </c>
      <c r="F3" s="25"/>
      <c r="G3" s="25"/>
      <c r="H3" s="66" t="s">
        <v>79</v>
      </c>
      <c r="I3" s="101"/>
      <c r="K3" s="19"/>
    </row>
    <row r="4" spans="2:11" ht="13.5" thickBot="1">
      <c r="B4" s="2" t="s">
        <v>38</v>
      </c>
      <c r="C4" s="5" t="s">
        <v>55</v>
      </c>
      <c r="D4" s="5" t="s">
        <v>56</v>
      </c>
      <c r="E4" s="15" t="s">
        <v>57</v>
      </c>
      <c r="F4" s="66" t="s">
        <v>58</v>
      </c>
      <c r="G4" s="66" t="s">
        <v>59</v>
      </c>
      <c r="H4" s="66" t="s">
        <v>60</v>
      </c>
      <c r="I4" s="4" t="s">
        <v>61</v>
      </c>
      <c r="K4" s="19"/>
    </row>
    <row r="5" spans="2:12" ht="12.75">
      <c r="B5" s="55" t="s">
        <v>64</v>
      </c>
      <c r="C5" s="58">
        <v>1</v>
      </c>
      <c r="D5" s="8">
        <v>18000</v>
      </c>
      <c r="E5" s="8">
        <v>1</v>
      </c>
      <c r="F5" s="58">
        <v>2</v>
      </c>
      <c r="G5" s="8">
        <f aca="true" t="shared" si="0" ref="G5:G44">D5*E5</f>
        <v>18000</v>
      </c>
      <c r="H5" s="108">
        <f aca="true" t="shared" si="1" ref="H5:H44">G5/F5</f>
        <v>9000</v>
      </c>
      <c r="I5" s="102">
        <f>5.53*D5/1000</f>
        <v>99.54</v>
      </c>
      <c r="J5" s="58"/>
      <c r="K5" s="58"/>
      <c r="L5" s="78"/>
    </row>
    <row r="6" spans="2:12" ht="12.75">
      <c r="B6" s="23" t="s">
        <v>65</v>
      </c>
      <c r="C6" s="58">
        <v>1</v>
      </c>
      <c r="D6" s="18">
        <v>18000</v>
      </c>
      <c r="E6" s="18">
        <v>1</v>
      </c>
      <c r="F6" s="100">
        <v>2</v>
      </c>
      <c r="G6" s="18">
        <f t="shared" si="0"/>
        <v>18000</v>
      </c>
      <c r="H6" s="108">
        <f t="shared" si="1"/>
        <v>9000</v>
      </c>
      <c r="I6" s="104">
        <f>5.53*D6/1000</f>
        <v>99.54</v>
      </c>
      <c r="J6" s="58"/>
      <c r="K6" s="58"/>
      <c r="L6" s="19"/>
    </row>
    <row r="7" spans="2:12" ht="12.75">
      <c r="B7" s="23" t="s">
        <v>158</v>
      </c>
      <c r="C7" s="58">
        <v>1</v>
      </c>
      <c r="D7" s="18">
        <v>18000</v>
      </c>
      <c r="E7" s="18">
        <v>1</v>
      </c>
      <c r="F7" s="100">
        <v>2</v>
      </c>
      <c r="G7" s="18">
        <f t="shared" si="0"/>
        <v>18000</v>
      </c>
      <c r="H7" s="108">
        <f t="shared" si="1"/>
        <v>9000</v>
      </c>
      <c r="I7" s="104">
        <f>2.9*D7/1000</f>
        <v>52.2</v>
      </c>
      <c r="J7" s="58"/>
      <c r="K7" s="58"/>
      <c r="L7" s="19"/>
    </row>
    <row r="8" spans="2:12" ht="13.5" thickBot="1">
      <c r="B8" s="24" t="s">
        <v>159</v>
      </c>
      <c r="C8" s="61">
        <v>1</v>
      </c>
      <c r="D8" s="11">
        <v>18000</v>
      </c>
      <c r="E8" s="11">
        <v>1</v>
      </c>
      <c r="F8" s="106">
        <v>2</v>
      </c>
      <c r="G8" s="11">
        <f t="shared" si="0"/>
        <v>18000</v>
      </c>
      <c r="H8" s="108">
        <f t="shared" si="1"/>
        <v>9000</v>
      </c>
      <c r="I8" s="103">
        <f>2.9*D8/1000</f>
        <v>52.2</v>
      </c>
      <c r="J8" s="58"/>
      <c r="K8" s="58"/>
      <c r="L8" s="19"/>
    </row>
    <row r="9" spans="2:12" ht="12.75">
      <c r="B9" s="121" t="s">
        <v>66</v>
      </c>
      <c r="C9" s="8">
        <v>1</v>
      </c>
      <c r="D9" s="8">
        <v>18000</v>
      </c>
      <c r="E9" s="60">
        <v>1</v>
      </c>
      <c r="F9" s="140">
        <v>2</v>
      </c>
      <c r="G9" s="8">
        <f t="shared" si="0"/>
        <v>18000</v>
      </c>
      <c r="H9" s="137">
        <f t="shared" si="1"/>
        <v>9000</v>
      </c>
      <c r="I9" s="102">
        <f>7.4*D9/1000</f>
        <v>133.2</v>
      </c>
      <c r="J9" s="58"/>
      <c r="K9" s="58"/>
      <c r="L9" s="78"/>
    </row>
    <row r="10" spans="2:12" ht="12.75">
      <c r="B10" s="138" t="s">
        <v>67</v>
      </c>
      <c r="C10" s="18">
        <v>1</v>
      </c>
      <c r="D10" s="18">
        <v>18000</v>
      </c>
      <c r="E10" s="58">
        <v>1</v>
      </c>
      <c r="F10" s="141">
        <v>2</v>
      </c>
      <c r="G10" s="18">
        <f t="shared" si="0"/>
        <v>18000</v>
      </c>
      <c r="H10" s="108">
        <f t="shared" si="1"/>
        <v>9000</v>
      </c>
      <c r="I10" s="104">
        <f>7.3*D10/1000</f>
        <v>131.4</v>
      </c>
      <c r="J10" s="58"/>
      <c r="K10" s="58"/>
      <c r="L10" s="78"/>
    </row>
    <row r="11" spans="2:12" ht="12.75">
      <c r="B11" s="138" t="s">
        <v>161</v>
      </c>
      <c r="C11" s="18">
        <v>1</v>
      </c>
      <c r="D11" s="18">
        <v>18000</v>
      </c>
      <c r="E11" s="58">
        <v>1</v>
      </c>
      <c r="F11" s="141">
        <v>2</v>
      </c>
      <c r="G11" s="18">
        <f t="shared" si="0"/>
        <v>18000</v>
      </c>
      <c r="H11" s="108">
        <f t="shared" si="1"/>
        <v>9000</v>
      </c>
      <c r="I11" s="104">
        <f>0.3*D11/1000</f>
        <v>5.4</v>
      </c>
      <c r="J11" s="58"/>
      <c r="K11" s="58"/>
      <c r="L11" s="78"/>
    </row>
    <row r="12" spans="2:12" ht="13.5" thickBot="1">
      <c r="B12" s="139" t="s">
        <v>162</v>
      </c>
      <c r="C12" s="11">
        <v>1</v>
      </c>
      <c r="D12" s="11">
        <v>18000</v>
      </c>
      <c r="E12" s="61">
        <v>1</v>
      </c>
      <c r="F12" s="62">
        <v>2</v>
      </c>
      <c r="G12" s="11">
        <f t="shared" si="0"/>
        <v>18000</v>
      </c>
      <c r="H12" s="142">
        <f t="shared" si="1"/>
        <v>9000</v>
      </c>
      <c r="I12" s="103">
        <f>2.4*D12/1000</f>
        <v>43.2</v>
      </c>
      <c r="J12" s="58"/>
      <c r="K12" s="58"/>
      <c r="L12" s="78"/>
    </row>
    <row r="13" spans="2:12" ht="12.75">
      <c r="B13" s="55" t="s">
        <v>68</v>
      </c>
      <c r="C13" s="6">
        <v>1</v>
      </c>
      <c r="D13" s="8">
        <v>18000</v>
      </c>
      <c r="E13" s="60">
        <v>1</v>
      </c>
      <c r="F13" s="140">
        <v>2</v>
      </c>
      <c r="G13" s="18">
        <f t="shared" si="0"/>
        <v>18000</v>
      </c>
      <c r="H13" s="108">
        <f t="shared" si="1"/>
        <v>9000</v>
      </c>
      <c r="I13" s="104">
        <f>6.5*D13/1000</f>
        <v>117</v>
      </c>
      <c r="J13" s="58"/>
      <c r="K13" s="58"/>
      <c r="L13" s="78"/>
    </row>
    <row r="14" spans="2:12" ht="12.75">
      <c r="B14" s="23" t="s">
        <v>163</v>
      </c>
      <c r="C14" s="16">
        <v>1</v>
      </c>
      <c r="D14" s="18">
        <v>18000</v>
      </c>
      <c r="E14" s="58">
        <v>1</v>
      </c>
      <c r="F14" s="141">
        <v>2</v>
      </c>
      <c r="G14" s="18">
        <f t="shared" si="0"/>
        <v>18000</v>
      </c>
      <c r="H14" s="108">
        <f t="shared" si="1"/>
        <v>9000</v>
      </c>
      <c r="I14" s="104">
        <f>9.1*D14/1000</f>
        <v>163.8</v>
      </c>
      <c r="J14" s="58"/>
      <c r="K14" s="58"/>
      <c r="L14" s="78"/>
    </row>
    <row r="15" spans="2:12" ht="13.5" thickBot="1">
      <c r="B15" s="24" t="s">
        <v>164</v>
      </c>
      <c r="C15" s="9">
        <v>1</v>
      </c>
      <c r="D15" s="11">
        <v>18000</v>
      </c>
      <c r="E15" s="61">
        <v>1</v>
      </c>
      <c r="F15" s="62">
        <v>2</v>
      </c>
      <c r="G15" s="11">
        <f t="shared" si="0"/>
        <v>18000</v>
      </c>
      <c r="H15" s="57">
        <f t="shared" si="1"/>
        <v>9000</v>
      </c>
      <c r="I15" s="103">
        <f>0.81*D15/1000</f>
        <v>14.580000000000002</v>
      </c>
      <c r="J15" s="58"/>
      <c r="K15" s="58"/>
      <c r="L15" s="78"/>
    </row>
    <row r="16" spans="2:12" ht="12.75">
      <c r="B16" s="121" t="s">
        <v>70</v>
      </c>
      <c r="C16" s="8">
        <v>1</v>
      </c>
      <c r="D16" s="8">
        <v>18000</v>
      </c>
      <c r="E16" s="60">
        <v>2</v>
      </c>
      <c r="F16" s="140">
        <v>4</v>
      </c>
      <c r="G16" s="8">
        <f t="shared" si="0"/>
        <v>36000</v>
      </c>
      <c r="H16" s="137">
        <f t="shared" si="1"/>
        <v>9000</v>
      </c>
      <c r="I16" s="102">
        <f>0.713*D16/1000</f>
        <v>12.834</v>
      </c>
      <c r="J16" s="58"/>
      <c r="K16" s="58"/>
      <c r="L16" s="78"/>
    </row>
    <row r="17" spans="2:12" ht="12.75">
      <c r="B17" s="138" t="s">
        <v>71</v>
      </c>
      <c r="C17" s="18">
        <v>1</v>
      </c>
      <c r="D17" s="18">
        <v>18000</v>
      </c>
      <c r="E17" s="58">
        <v>2</v>
      </c>
      <c r="F17" s="141">
        <v>8</v>
      </c>
      <c r="G17" s="18">
        <f t="shared" si="0"/>
        <v>36000</v>
      </c>
      <c r="H17" s="108">
        <f t="shared" si="1"/>
        <v>4500</v>
      </c>
      <c r="I17" s="104">
        <f>0.38*D17/1000</f>
        <v>6.84</v>
      </c>
      <c r="J17" s="58"/>
      <c r="K17" s="58"/>
      <c r="L17" s="78"/>
    </row>
    <row r="18" spans="2:12" ht="12.75">
      <c r="B18" s="138" t="s">
        <v>165</v>
      </c>
      <c r="C18" s="18">
        <v>1</v>
      </c>
      <c r="D18" s="18">
        <v>18000</v>
      </c>
      <c r="E18" s="58">
        <v>2</v>
      </c>
      <c r="F18" s="141">
        <v>6</v>
      </c>
      <c r="G18" s="18">
        <f t="shared" si="0"/>
        <v>36000</v>
      </c>
      <c r="H18" s="108">
        <f t="shared" si="1"/>
        <v>6000</v>
      </c>
      <c r="I18" s="104">
        <f>0.82*D18/1000</f>
        <v>14.76</v>
      </c>
      <c r="J18" s="58"/>
      <c r="K18" s="58"/>
      <c r="L18" s="78"/>
    </row>
    <row r="19" spans="2:12" ht="13.5" thickBot="1">
      <c r="B19" s="139" t="s">
        <v>166</v>
      </c>
      <c r="C19" s="11">
        <v>1</v>
      </c>
      <c r="D19" s="11">
        <v>18000</v>
      </c>
      <c r="E19" s="61">
        <v>2</v>
      </c>
      <c r="F19" s="62">
        <v>2</v>
      </c>
      <c r="G19" s="11">
        <f t="shared" si="0"/>
        <v>36000</v>
      </c>
      <c r="H19" s="107">
        <f t="shared" si="1"/>
        <v>18000</v>
      </c>
      <c r="I19" s="103">
        <f>0.55*D19/1000</f>
        <v>9.9</v>
      </c>
      <c r="J19" s="58"/>
      <c r="K19" s="58"/>
      <c r="L19" s="78"/>
    </row>
    <row r="20" spans="2:12" ht="12.75">
      <c r="B20" s="121" t="s">
        <v>167</v>
      </c>
      <c r="C20" s="8">
        <v>1</v>
      </c>
      <c r="D20" s="8">
        <v>18000</v>
      </c>
      <c r="E20" s="8">
        <v>2</v>
      </c>
      <c r="F20" s="140">
        <v>4</v>
      </c>
      <c r="G20" s="8">
        <f t="shared" si="0"/>
        <v>36000</v>
      </c>
      <c r="H20" s="137">
        <f t="shared" si="1"/>
        <v>9000</v>
      </c>
      <c r="I20" s="102">
        <f>0.25*D20/1000</f>
        <v>4.5</v>
      </c>
      <c r="J20" s="58"/>
      <c r="K20" s="58"/>
      <c r="L20" s="78"/>
    </row>
    <row r="21" spans="2:12" ht="13.5" thickBot="1">
      <c r="B21" s="139" t="s">
        <v>168</v>
      </c>
      <c r="C21" s="11">
        <v>1</v>
      </c>
      <c r="D21" s="11">
        <v>18000</v>
      </c>
      <c r="E21" s="18">
        <v>1</v>
      </c>
      <c r="F21" s="62">
        <v>2</v>
      </c>
      <c r="G21" s="11">
        <f t="shared" si="0"/>
        <v>18000</v>
      </c>
      <c r="H21" s="107">
        <f t="shared" si="1"/>
        <v>9000</v>
      </c>
      <c r="I21" s="103">
        <f>1.8*D21/1000</f>
        <v>32.4</v>
      </c>
      <c r="J21" s="58"/>
      <c r="K21" s="58"/>
      <c r="L21" s="78"/>
    </row>
    <row r="22" spans="2:12" ht="12.75">
      <c r="B22" s="121" t="s">
        <v>74</v>
      </c>
      <c r="C22" s="8">
        <v>1</v>
      </c>
      <c r="D22" s="8">
        <v>18000</v>
      </c>
      <c r="E22" s="8">
        <v>1</v>
      </c>
      <c r="F22" s="136">
        <v>2</v>
      </c>
      <c r="G22" s="8">
        <f t="shared" si="0"/>
        <v>18000</v>
      </c>
      <c r="H22" s="137">
        <f t="shared" si="1"/>
        <v>9000</v>
      </c>
      <c r="I22" s="102">
        <f>6.07*D22/1000</f>
        <v>109.26</v>
      </c>
      <c r="J22" s="58"/>
      <c r="K22" s="58"/>
      <c r="L22" s="78"/>
    </row>
    <row r="23" spans="2:12" ht="12.75">
      <c r="B23" s="138" t="s">
        <v>169</v>
      </c>
      <c r="C23" s="18">
        <v>1</v>
      </c>
      <c r="D23" s="18">
        <v>18000</v>
      </c>
      <c r="E23" s="18">
        <v>1</v>
      </c>
      <c r="F23" s="100">
        <v>2</v>
      </c>
      <c r="G23" s="18">
        <f t="shared" si="0"/>
        <v>18000</v>
      </c>
      <c r="H23" s="108">
        <f t="shared" si="1"/>
        <v>9000</v>
      </c>
      <c r="I23" s="104">
        <f>1.54*D23/1000</f>
        <v>27.72</v>
      </c>
      <c r="J23" s="58"/>
      <c r="K23" s="58"/>
      <c r="L23" s="78"/>
    </row>
    <row r="24" spans="2:12" ht="13.5" thickBot="1">
      <c r="B24" s="139" t="s">
        <v>170</v>
      </c>
      <c r="C24" s="11">
        <v>1</v>
      </c>
      <c r="D24" s="11">
        <v>18000</v>
      </c>
      <c r="E24" s="11">
        <v>1</v>
      </c>
      <c r="F24" s="106">
        <v>2</v>
      </c>
      <c r="G24" s="11">
        <f t="shared" si="0"/>
        <v>18000</v>
      </c>
      <c r="H24" s="107">
        <f t="shared" si="1"/>
        <v>9000</v>
      </c>
      <c r="I24" s="103">
        <f>0.43*D24/1000</f>
        <v>7.74</v>
      </c>
      <c r="J24" s="58"/>
      <c r="K24" s="58"/>
      <c r="L24" s="78"/>
    </row>
    <row r="25" spans="2:12" ht="12.75">
      <c r="B25" s="55" t="s">
        <v>171</v>
      </c>
      <c r="C25" s="60">
        <v>1</v>
      </c>
      <c r="D25" s="8">
        <v>18000</v>
      </c>
      <c r="E25" s="8">
        <v>1</v>
      </c>
      <c r="F25" s="136">
        <v>1</v>
      </c>
      <c r="G25" s="8">
        <f t="shared" si="0"/>
        <v>18000</v>
      </c>
      <c r="H25" s="137">
        <f t="shared" si="1"/>
        <v>18000</v>
      </c>
      <c r="I25" s="102">
        <f>0.45*D25/1000</f>
        <v>8.1</v>
      </c>
      <c r="J25" s="58"/>
      <c r="K25" s="58"/>
      <c r="L25" s="78"/>
    </row>
    <row r="26" spans="2:12" ht="13.5" thickBot="1">
      <c r="B26" s="24" t="s">
        <v>172</v>
      </c>
      <c r="C26" s="61">
        <v>1</v>
      </c>
      <c r="D26" s="11">
        <v>18000</v>
      </c>
      <c r="E26" s="11">
        <v>1</v>
      </c>
      <c r="F26" s="106">
        <v>1</v>
      </c>
      <c r="G26" s="11">
        <f t="shared" si="0"/>
        <v>18000</v>
      </c>
      <c r="H26" s="107">
        <f t="shared" si="1"/>
        <v>18000</v>
      </c>
      <c r="I26" s="103">
        <f>0.15*D26/1000</f>
        <v>2.7</v>
      </c>
      <c r="J26" s="58"/>
      <c r="K26" s="58"/>
      <c r="L26" s="78"/>
    </row>
    <row r="27" spans="2:12" ht="12.75">
      <c r="B27" s="23" t="s">
        <v>173</v>
      </c>
      <c r="C27" s="58">
        <v>1</v>
      </c>
      <c r="D27" s="8">
        <v>18000</v>
      </c>
      <c r="E27" s="18">
        <v>1</v>
      </c>
      <c r="F27" s="100">
        <v>3</v>
      </c>
      <c r="G27" s="18">
        <f t="shared" si="0"/>
        <v>18000</v>
      </c>
      <c r="H27" s="108">
        <f t="shared" si="1"/>
        <v>6000</v>
      </c>
      <c r="I27" s="104">
        <f>1.6*D27/1000</f>
        <v>28.8</v>
      </c>
      <c r="J27" s="58"/>
      <c r="K27" s="58"/>
      <c r="L27" s="78"/>
    </row>
    <row r="28" spans="2:12" ht="13.5" thickBot="1">
      <c r="B28" s="24" t="s">
        <v>174</v>
      </c>
      <c r="C28" s="58">
        <v>1</v>
      </c>
      <c r="D28" s="11">
        <v>18000</v>
      </c>
      <c r="E28" s="18">
        <v>1</v>
      </c>
      <c r="F28" s="100">
        <v>3</v>
      </c>
      <c r="G28" s="18">
        <f t="shared" si="0"/>
        <v>18000</v>
      </c>
      <c r="H28" s="108">
        <f t="shared" si="1"/>
        <v>6000</v>
      </c>
      <c r="I28" s="104">
        <f>0.72*D28/1000</f>
        <v>12.96</v>
      </c>
      <c r="J28" s="58"/>
      <c r="K28" s="58"/>
      <c r="L28" s="78"/>
    </row>
    <row r="29" spans="2:12" ht="13.5" thickBot="1">
      <c r="B29" s="178" t="s">
        <v>97</v>
      </c>
      <c r="C29" s="179"/>
      <c r="D29" s="179"/>
      <c r="E29" s="179"/>
      <c r="F29" s="15" t="s">
        <v>98</v>
      </c>
      <c r="G29" s="112">
        <f>SUM(G5:G28)</f>
        <v>522000</v>
      </c>
      <c r="H29" s="118">
        <f>SUM(H5:H28)</f>
        <v>229500</v>
      </c>
      <c r="I29" s="113">
        <f>SUM(I5:I28)</f>
        <v>1190.574</v>
      </c>
      <c r="J29" s="58"/>
      <c r="K29" s="58"/>
      <c r="L29" s="78"/>
    </row>
    <row r="30" spans="1:12" ht="12.75">
      <c r="A30" s="19"/>
      <c r="B30" s="58"/>
      <c r="C30" s="58"/>
      <c r="D30" s="58"/>
      <c r="E30" s="58"/>
      <c r="F30" s="19"/>
      <c r="G30" s="147"/>
      <c r="H30" s="143"/>
      <c r="I30" s="149"/>
      <c r="J30" s="58"/>
      <c r="K30" s="58"/>
      <c r="L30" s="78"/>
    </row>
    <row r="31" spans="1:12" ht="12.75">
      <c r="A31" s="19"/>
      <c r="B31" s="58"/>
      <c r="C31" s="58"/>
      <c r="D31" s="58"/>
      <c r="E31" s="58"/>
      <c r="F31" s="19"/>
      <c r="G31" s="147"/>
      <c r="H31" s="143"/>
      <c r="I31" s="149"/>
      <c r="J31" s="58"/>
      <c r="K31" s="58"/>
      <c r="L31" s="78"/>
    </row>
    <row r="32" spans="1:12" ht="12.75">
      <c r="A32" s="19"/>
      <c r="B32" s="58"/>
      <c r="C32" s="58"/>
      <c r="D32" s="58"/>
      <c r="E32" s="58"/>
      <c r="F32" s="19"/>
      <c r="G32" s="147"/>
      <c r="H32" s="143"/>
      <c r="I32" s="149"/>
      <c r="J32" s="58"/>
      <c r="K32" s="58"/>
      <c r="L32" s="78"/>
    </row>
    <row r="33" spans="1:12" ht="13.5" thickBot="1">
      <c r="A33" s="19"/>
      <c r="B33" s="58"/>
      <c r="C33" s="58"/>
      <c r="D33" s="61"/>
      <c r="E33" s="58"/>
      <c r="F33" s="19"/>
      <c r="G33" s="147"/>
      <c r="H33" s="150" t="s">
        <v>182</v>
      </c>
      <c r="J33" s="58"/>
      <c r="K33" s="58"/>
      <c r="L33" s="78"/>
    </row>
    <row r="34" spans="2:12" ht="12.75">
      <c r="B34" s="6" t="s">
        <v>62</v>
      </c>
      <c r="C34" s="8">
        <v>2</v>
      </c>
      <c r="D34" s="18">
        <v>17625</v>
      </c>
      <c r="E34" s="8">
        <v>1</v>
      </c>
      <c r="F34" s="60">
        <v>1</v>
      </c>
      <c r="G34" s="8">
        <f t="shared" si="0"/>
        <v>17625</v>
      </c>
      <c r="H34" s="137">
        <f t="shared" si="1"/>
        <v>17625</v>
      </c>
      <c r="I34" s="102">
        <f>34*D34/1000</f>
        <v>599.25</v>
      </c>
      <c r="J34" s="58"/>
      <c r="K34" s="58"/>
      <c r="L34" s="78"/>
    </row>
    <row r="35" spans="2:12" ht="13.5" thickBot="1">
      <c r="B35" s="9" t="s">
        <v>63</v>
      </c>
      <c r="C35" s="11">
        <v>2</v>
      </c>
      <c r="D35" s="11">
        <v>17625</v>
      </c>
      <c r="E35" s="11">
        <v>1</v>
      </c>
      <c r="F35" s="61">
        <v>1</v>
      </c>
      <c r="G35" s="11">
        <f t="shared" si="0"/>
        <v>17625</v>
      </c>
      <c r="H35" s="107">
        <f t="shared" si="1"/>
        <v>17625</v>
      </c>
      <c r="I35" s="103">
        <f>34*D35/1000</f>
        <v>599.25</v>
      </c>
      <c r="J35" s="58"/>
      <c r="K35" s="58"/>
      <c r="L35" s="78"/>
    </row>
    <row r="36" spans="2:12" ht="12.75">
      <c r="B36" s="6" t="s">
        <v>160</v>
      </c>
      <c r="C36" s="8">
        <v>2</v>
      </c>
      <c r="D36" s="8">
        <v>18000</v>
      </c>
      <c r="E36" s="8">
        <v>2</v>
      </c>
      <c r="F36" s="60">
        <v>1</v>
      </c>
      <c r="G36" s="8">
        <f t="shared" si="0"/>
        <v>36000</v>
      </c>
      <c r="H36" s="137">
        <f t="shared" si="1"/>
        <v>36000</v>
      </c>
      <c r="I36" s="102">
        <f>58*D36/1000</f>
        <v>1044</v>
      </c>
      <c r="J36" s="58"/>
      <c r="K36" s="58"/>
      <c r="L36" s="78"/>
    </row>
    <row r="37" spans="2:12" ht="12.75">
      <c r="B37" s="16" t="s">
        <v>175</v>
      </c>
      <c r="C37" s="18">
        <v>2</v>
      </c>
      <c r="D37" s="18">
        <v>18000</v>
      </c>
      <c r="E37" s="18">
        <v>2</v>
      </c>
      <c r="F37" s="58">
        <v>1</v>
      </c>
      <c r="G37" s="18">
        <f t="shared" si="0"/>
        <v>36000</v>
      </c>
      <c r="H37" s="108">
        <f t="shared" si="1"/>
        <v>36000</v>
      </c>
      <c r="I37" s="104">
        <f>67.3*D37/1000</f>
        <v>1211.4</v>
      </c>
      <c r="J37" s="58"/>
      <c r="K37" s="58"/>
      <c r="L37" s="78"/>
    </row>
    <row r="38" spans="2:12" ht="13.5" thickBot="1">
      <c r="B38" s="9" t="s">
        <v>176</v>
      </c>
      <c r="C38" s="11">
        <v>2</v>
      </c>
      <c r="D38" s="11">
        <v>18000</v>
      </c>
      <c r="E38" s="11">
        <v>1</v>
      </c>
      <c r="F38" s="61">
        <v>2</v>
      </c>
      <c r="G38" s="11">
        <f t="shared" si="0"/>
        <v>18000</v>
      </c>
      <c r="H38" s="107">
        <f t="shared" si="1"/>
        <v>9000</v>
      </c>
      <c r="I38" s="103">
        <f>9.6*D38/1000</f>
        <v>172.8</v>
      </c>
      <c r="J38" s="58"/>
      <c r="K38" s="58"/>
      <c r="L38" s="78"/>
    </row>
    <row r="39" spans="2:12" ht="12.75">
      <c r="B39" s="6" t="s">
        <v>177</v>
      </c>
      <c r="C39" s="8">
        <v>2</v>
      </c>
      <c r="D39" s="8">
        <v>18000</v>
      </c>
      <c r="E39" s="8">
        <v>1</v>
      </c>
      <c r="F39" s="60">
        <v>2</v>
      </c>
      <c r="G39" s="8">
        <f t="shared" si="0"/>
        <v>18000</v>
      </c>
      <c r="H39" s="137">
        <f t="shared" si="1"/>
        <v>9000</v>
      </c>
      <c r="I39" s="102">
        <f>43.4*D39/1000</f>
        <v>781.2</v>
      </c>
      <c r="J39" s="58"/>
      <c r="K39" s="58"/>
      <c r="L39" s="78"/>
    </row>
    <row r="40" spans="2:12" ht="12.75">
      <c r="B40" s="16" t="s">
        <v>178</v>
      </c>
      <c r="C40" s="18">
        <v>2</v>
      </c>
      <c r="D40" s="18">
        <v>18000</v>
      </c>
      <c r="E40" s="18">
        <v>1</v>
      </c>
      <c r="F40" s="58">
        <v>2</v>
      </c>
      <c r="G40" s="18">
        <f t="shared" si="0"/>
        <v>18000</v>
      </c>
      <c r="H40" s="108">
        <f t="shared" si="1"/>
        <v>9000</v>
      </c>
      <c r="I40" s="104">
        <f>13.9*D40/1000</f>
        <v>250.2</v>
      </c>
      <c r="J40" s="58"/>
      <c r="K40" s="58"/>
      <c r="L40" s="78"/>
    </row>
    <row r="41" spans="2:12" ht="13.5" thickBot="1">
      <c r="B41" s="9" t="s">
        <v>179</v>
      </c>
      <c r="C41" s="11">
        <v>2</v>
      </c>
      <c r="D41" s="11">
        <v>18000</v>
      </c>
      <c r="E41" s="11">
        <v>1</v>
      </c>
      <c r="F41" s="61">
        <v>2</v>
      </c>
      <c r="G41" s="11">
        <f t="shared" si="0"/>
        <v>18000</v>
      </c>
      <c r="H41" s="107">
        <f t="shared" si="1"/>
        <v>9000</v>
      </c>
      <c r="I41" s="103">
        <f>18*D41/1000</f>
        <v>324</v>
      </c>
      <c r="J41" s="58"/>
      <c r="K41" s="58"/>
      <c r="L41" s="78"/>
    </row>
    <row r="42" spans="2:12" ht="13.5" thickBot="1">
      <c r="B42" s="138" t="s">
        <v>72</v>
      </c>
      <c r="C42" s="18">
        <v>2</v>
      </c>
      <c r="D42" s="32">
        <v>18000</v>
      </c>
      <c r="E42" s="18">
        <v>1</v>
      </c>
      <c r="F42" s="100">
        <v>2</v>
      </c>
      <c r="G42" s="18">
        <f>D42*E42</f>
        <v>18000</v>
      </c>
      <c r="H42" s="108">
        <f>G42/F42</f>
        <v>9000</v>
      </c>
      <c r="I42" s="104">
        <f>14.8*D42/1000</f>
        <v>266.4</v>
      </c>
      <c r="J42" s="58"/>
      <c r="K42" s="58"/>
      <c r="L42" s="19"/>
    </row>
    <row r="43" spans="2:12" ht="12.75">
      <c r="B43" s="121" t="s">
        <v>180</v>
      </c>
      <c r="C43" s="8">
        <v>2</v>
      </c>
      <c r="D43" s="8">
        <v>18000</v>
      </c>
      <c r="E43" s="8">
        <v>1</v>
      </c>
      <c r="F43" s="136">
        <v>2</v>
      </c>
      <c r="G43" s="8">
        <f t="shared" si="0"/>
        <v>18000</v>
      </c>
      <c r="H43" s="137">
        <f t="shared" si="1"/>
        <v>9000</v>
      </c>
      <c r="I43" s="102">
        <f>26.4*D43/1000</f>
        <v>475.2</v>
      </c>
      <c r="J43" s="58"/>
      <c r="K43" s="58"/>
      <c r="L43" s="19"/>
    </row>
    <row r="44" spans="2:12" ht="13.5" thickBot="1">
      <c r="B44" s="139" t="s">
        <v>181</v>
      </c>
      <c r="C44" s="11">
        <v>2</v>
      </c>
      <c r="D44" s="11">
        <v>18000</v>
      </c>
      <c r="E44" s="11">
        <v>1</v>
      </c>
      <c r="F44" s="106">
        <v>2</v>
      </c>
      <c r="G44" s="11">
        <f t="shared" si="0"/>
        <v>18000</v>
      </c>
      <c r="H44" s="107">
        <f t="shared" si="1"/>
        <v>9000</v>
      </c>
      <c r="I44" s="103">
        <f>23.6*D44/1000</f>
        <v>424.8</v>
      </c>
      <c r="J44" s="58"/>
      <c r="K44" s="58"/>
      <c r="L44" s="19"/>
    </row>
    <row r="45" spans="2:12" ht="12.75">
      <c r="B45" s="121" t="s">
        <v>75</v>
      </c>
      <c r="C45" s="8">
        <v>2</v>
      </c>
      <c r="D45" s="8">
        <v>18000</v>
      </c>
      <c r="E45" s="8">
        <v>1</v>
      </c>
      <c r="F45" s="136">
        <v>1</v>
      </c>
      <c r="G45" s="8">
        <f>D45*E45</f>
        <v>18000</v>
      </c>
      <c r="H45" s="137">
        <f>G45/F45</f>
        <v>18000</v>
      </c>
      <c r="I45" s="102">
        <f>21*D45/1000</f>
        <v>378</v>
      </c>
      <c r="J45" s="58"/>
      <c r="K45" s="58"/>
      <c r="L45" s="19"/>
    </row>
    <row r="46" spans="2:12" ht="13.5" thickBot="1">
      <c r="B46" s="139" t="s">
        <v>76</v>
      </c>
      <c r="C46" s="11">
        <v>2</v>
      </c>
      <c r="D46" s="11">
        <v>18000</v>
      </c>
      <c r="E46" s="11">
        <v>1</v>
      </c>
      <c r="F46" s="106">
        <v>1</v>
      </c>
      <c r="G46" s="11">
        <f>D46*E46</f>
        <v>18000</v>
      </c>
      <c r="H46" s="107">
        <f>G46/F46</f>
        <v>18000</v>
      </c>
      <c r="I46" s="103">
        <f>21*D46/1000</f>
        <v>378</v>
      </c>
      <c r="J46" s="58"/>
      <c r="K46" s="58"/>
      <c r="L46" s="19"/>
    </row>
    <row r="47" spans="2:12" ht="13.5" thickBot="1">
      <c r="B47" s="138" t="s">
        <v>77</v>
      </c>
      <c r="C47" s="11">
        <v>2</v>
      </c>
      <c r="D47" s="58">
        <v>18000</v>
      </c>
      <c r="E47" s="11">
        <v>1</v>
      </c>
      <c r="F47" s="100">
        <v>1</v>
      </c>
      <c r="G47" s="18">
        <f>D47*E47</f>
        <v>18000</v>
      </c>
      <c r="H47" s="58">
        <f>G47/F47</f>
        <v>18000</v>
      </c>
      <c r="I47" s="104">
        <f>14*D47/1000</f>
        <v>252</v>
      </c>
      <c r="J47" s="58"/>
      <c r="K47" s="58"/>
      <c r="L47" s="78"/>
    </row>
    <row r="48" spans="2:12" ht="13.5" thickBot="1">
      <c r="B48" s="180" t="s">
        <v>99</v>
      </c>
      <c r="C48" s="181"/>
      <c r="D48" s="181"/>
      <c r="E48" s="181"/>
      <c r="F48" s="101" t="s">
        <v>98</v>
      </c>
      <c r="G48" s="145">
        <f>SUM(G34:G47)</f>
        <v>287250</v>
      </c>
      <c r="H48" s="151">
        <f>SUM(H34:H47)</f>
        <v>224250</v>
      </c>
      <c r="I48" s="144">
        <f>SUM(I34:I47)</f>
        <v>7156.5</v>
      </c>
      <c r="J48" s="58"/>
      <c r="K48" s="58"/>
      <c r="L48" s="19"/>
    </row>
    <row r="49" spans="2:12" ht="13.5" thickBot="1">
      <c r="B49" s="63" t="s">
        <v>183</v>
      </c>
      <c r="C49" s="32">
        <v>3</v>
      </c>
      <c r="D49" s="32">
        <v>18000</v>
      </c>
      <c r="E49" s="32">
        <v>1</v>
      </c>
      <c r="F49" s="68">
        <v>2</v>
      </c>
      <c r="G49" s="32">
        <f aca="true" t="shared" si="2" ref="G49:G55">D49*E49</f>
        <v>18000</v>
      </c>
      <c r="H49" s="117">
        <f aca="true" t="shared" si="3" ref="H49:H55">G49/F49</f>
        <v>9000</v>
      </c>
      <c r="I49" s="105">
        <f>6.05*D49/1000</f>
        <v>108.9</v>
      </c>
      <c r="J49" s="58"/>
      <c r="K49" s="58"/>
      <c r="L49" s="19"/>
    </row>
    <row r="50" spans="2:12" ht="13.5" thickBot="1">
      <c r="B50" s="63" t="s">
        <v>184</v>
      </c>
      <c r="C50" s="32">
        <v>3</v>
      </c>
      <c r="D50" s="32">
        <v>18000</v>
      </c>
      <c r="E50" s="32">
        <v>1</v>
      </c>
      <c r="F50" s="68">
        <v>1</v>
      </c>
      <c r="G50" s="18">
        <f t="shared" si="2"/>
        <v>18000</v>
      </c>
      <c r="H50" s="108">
        <f t="shared" si="3"/>
        <v>18000</v>
      </c>
      <c r="I50" s="104">
        <f>40.2*D50/1000</f>
        <v>723.6</v>
      </c>
      <c r="J50" s="58"/>
      <c r="K50" s="58"/>
      <c r="L50" s="19"/>
    </row>
    <row r="51" spans="2:12" ht="13.5" thickBot="1">
      <c r="B51" s="63" t="s">
        <v>69</v>
      </c>
      <c r="C51" s="32">
        <v>3</v>
      </c>
      <c r="D51" s="32">
        <v>18000</v>
      </c>
      <c r="E51" s="32">
        <v>2</v>
      </c>
      <c r="F51" s="68">
        <v>2</v>
      </c>
      <c r="G51" s="32">
        <f t="shared" si="2"/>
        <v>36000</v>
      </c>
      <c r="H51" s="117">
        <f t="shared" si="3"/>
        <v>18000</v>
      </c>
      <c r="I51" s="105">
        <f>22*D51/1000</f>
        <v>396</v>
      </c>
      <c r="J51" s="58"/>
      <c r="K51" s="58"/>
      <c r="L51" s="19"/>
    </row>
    <row r="52" spans="2:12" ht="12.75">
      <c r="B52" s="16" t="s">
        <v>73</v>
      </c>
      <c r="C52" s="18">
        <v>3</v>
      </c>
      <c r="D52" s="8">
        <v>18000</v>
      </c>
      <c r="E52" s="18">
        <v>1</v>
      </c>
      <c r="F52" s="58">
        <v>2</v>
      </c>
      <c r="G52" s="8">
        <f t="shared" si="2"/>
        <v>18000</v>
      </c>
      <c r="H52" s="137">
        <f t="shared" si="3"/>
        <v>9000</v>
      </c>
      <c r="I52" s="102">
        <f>5.6*D52/1000</f>
        <v>100.8</v>
      </c>
      <c r="J52" s="58"/>
      <c r="K52" s="58"/>
      <c r="L52" s="19"/>
    </row>
    <row r="53" spans="2:12" ht="13.5" thickBot="1">
      <c r="B53" s="9" t="s">
        <v>185</v>
      </c>
      <c r="C53" s="11">
        <v>3</v>
      </c>
      <c r="D53" s="11">
        <v>18000</v>
      </c>
      <c r="E53" s="11">
        <v>1</v>
      </c>
      <c r="F53" s="61">
        <v>2</v>
      </c>
      <c r="G53" s="11">
        <f t="shared" si="2"/>
        <v>18000</v>
      </c>
      <c r="H53" s="107">
        <f t="shared" si="3"/>
        <v>9000</v>
      </c>
      <c r="I53" s="103">
        <f>5.6*D53/1000</f>
        <v>100.8</v>
      </c>
      <c r="J53" s="58"/>
      <c r="K53" s="58"/>
      <c r="L53" s="19"/>
    </row>
    <row r="54" spans="2:12" ht="12.75">
      <c r="B54" s="16" t="s">
        <v>186</v>
      </c>
      <c r="C54" s="18">
        <v>3</v>
      </c>
      <c r="D54" s="58">
        <v>18000</v>
      </c>
      <c r="E54" s="18">
        <v>1</v>
      </c>
      <c r="F54" s="58">
        <v>2</v>
      </c>
      <c r="G54" s="18">
        <f t="shared" si="2"/>
        <v>18000</v>
      </c>
      <c r="H54" s="108">
        <f t="shared" si="3"/>
        <v>9000</v>
      </c>
      <c r="I54" s="104">
        <f>8.7*D54/1000</f>
        <v>156.6</v>
      </c>
      <c r="J54" s="58"/>
      <c r="K54" s="58"/>
      <c r="L54" s="19"/>
    </row>
    <row r="55" spans="2:12" ht="13.5" thickBot="1">
      <c r="B55" s="16" t="s">
        <v>187</v>
      </c>
      <c r="C55" s="11">
        <v>3</v>
      </c>
      <c r="D55" s="58">
        <v>18000</v>
      </c>
      <c r="E55" s="11">
        <v>1</v>
      </c>
      <c r="F55" s="58">
        <v>2</v>
      </c>
      <c r="G55" s="11">
        <f t="shared" si="2"/>
        <v>18000</v>
      </c>
      <c r="H55" s="108">
        <f t="shared" si="3"/>
        <v>9000</v>
      </c>
      <c r="I55" s="103">
        <f>7*D55/1000</f>
        <v>126</v>
      </c>
      <c r="J55" s="58"/>
      <c r="K55" s="58"/>
      <c r="L55" s="19"/>
    </row>
    <row r="56" spans="2:12" ht="13.5" thickBot="1">
      <c r="B56" s="178" t="s">
        <v>100</v>
      </c>
      <c r="C56" s="179"/>
      <c r="D56" s="179"/>
      <c r="E56" s="179"/>
      <c r="F56" s="101" t="s">
        <v>98</v>
      </c>
      <c r="G56" s="145">
        <f>SUM(G49:G55)</f>
        <v>144000</v>
      </c>
      <c r="H56" s="146">
        <f>SUM(H49:H55)</f>
        <v>81000</v>
      </c>
      <c r="I56" s="144">
        <f>SUM(I49:I55)</f>
        <v>1712.6999999999998</v>
      </c>
      <c r="J56" s="58"/>
      <c r="K56" s="58"/>
      <c r="L56" s="19"/>
    </row>
    <row r="57" spans="2:12" ht="12.75">
      <c r="B57" s="138" t="s">
        <v>188</v>
      </c>
      <c r="C57" s="18">
        <v>4</v>
      </c>
      <c r="D57" s="8">
        <v>18000</v>
      </c>
      <c r="E57" s="168">
        <v>2</v>
      </c>
      <c r="F57" s="153">
        <v>2</v>
      </c>
      <c r="G57" s="8">
        <f>D57*E57</f>
        <v>36000</v>
      </c>
      <c r="H57" s="154">
        <f>G57/F57</f>
        <v>18000</v>
      </c>
      <c r="I57" s="102">
        <f>13*D57/1000</f>
        <v>234</v>
      </c>
      <c r="J57" s="58"/>
      <c r="K57" s="58"/>
      <c r="L57" s="78"/>
    </row>
    <row r="58" spans="2:12" ht="13.5" thickBot="1">
      <c r="B58" s="139" t="s">
        <v>189</v>
      </c>
      <c r="C58" s="11">
        <v>4</v>
      </c>
      <c r="D58" s="11">
        <v>18000</v>
      </c>
      <c r="E58" s="11">
        <v>1</v>
      </c>
      <c r="F58" s="106">
        <v>2</v>
      </c>
      <c r="G58" s="11">
        <f>D58*E58</f>
        <v>18000</v>
      </c>
      <c r="H58" s="107">
        <f>G58/F58</f>
        <v>9000</v>
      </c>
      <c r="I58" s="103">
        <f>20*D58/1000</f>
        <v>360</v>
      </c>
      <c r="J58" s="58"/>
      <c r="K58" s="58"/>
      <c r="L58" s="78"/>
    </row>
    <row r="59" spans="2:12" ht="13.5" thickBot="1">
      <c r="B59" s="23" t="s">
        <v>190</v>
      </c>
      <c r="C59" s="33">
        <v>4</v>
      </c>
      <c r="D59" s="58">
        <v>18000</v>
      </c>
      <c r="E59" s="11">
        <v>1</v>
      </c>
      <c r="F59" s="100">
        <v>2</v>
      </c>
      <c r="G59" s="18">
        <f>D59*E59</f>
        <v>18000</v>
      </c>
      <c r="H59" s="108">
        <f>G59/F59</f>
        <v>9000</v>
      </c>
      <c r="I59" s="104">
        <f>13.8*D59/1000</f>
        <v>248.4</v>
      </c>
      <c r="J59" s="58"/>
      <c r="K59" s="58"/>
      <c r="L59" s="19"/>
    </row>
    <row r="60" spans="2:12" ht="13.5" thickBot="1">
      <c r="B60" s="178" t="s">
        <v>191</v>
      </c>
      <c r="C60" s="179"/>
      <c r="D60" s="179"/>
      <c r="E60" s="179"/>
      <c r="F60" s="22" t="s">
        <v>98</v>
      </c>
      <c r="G60" s="112">
        <f>SUM(G57:G59)</f>
        <v>72000</v>
      </c>
      <c r="H60" s="118">
        <f>SUM(H57:H59)</f>
        <v>36000</v>
      </c>
      <c r="I60" s="113">
        <f>SUM(I57:I59)</f>
        <v>842.4</v>
      </c>
      <c r="J60" s="58"/>
      <c r="K60" s="58"/>
      <c r="L60" s="78"/>
    </row>
    <row r="61" spans="2:12" ht="13.5" thickBot="1">
      <c r="B61" s="114" t="s">
        <v>78</v>
      </c>
      <c r="C61" s="115"/>
      <c r="D61" s="115"/>
      <c r="E61" s="116"/>
      <c r="F61" s="20"/>
      <c r="G61" s="152">
        <f>G29+G48+G56+G60</f>
        <v>1025250</v>
      </c>
      <c r="H61" s="119">
        <f>H29+H48+H56+H60</f>
        <v>570750</v>
      </c>
      <c r="I61" s="113">
        <f>I29+I48+I56+I60</f>
        <v>10902.174</v>
      </c>
      <c r="J61" s="58"/>
      <c r="K61" s="58"/>
      <c r="L61" s="78"/>
    </row>
    <row r="62" spans="1:12" ht="12.75">
      <c r="A62" s="19"/>
      <c r="B62" s="28"/>
      <c r="C62" s="58"/>
      <c r="D62" s="19"/>
      <c r="E62" s="58"/>
      <c r="F62" s="100"/>
      <c r="G62" s="100"/>
      <c r="H62" s="58"/>
      <c r="I62" s="99"/>
      <c r="J62" s="58"/>
      <c r="K62" s="58"/>
      <c r="L62" s="19"/>
    </row>
    <row r="63" spans="10:12" ht="12.75">
      <c r="J63" s="58"/>
      <c r="K63" s="58"/>
      <c r="L63" s="78"/>
    </row>
    <row r="64" spans="10:12" ht="12.75">
      <c r="J64" s="58"/>
      <c r="K64" s="58"/>
      <c r="L64" s="78"/>
    </row>
    <row r="65" spans="1:12" ht="12.75">
      <c r="A65" s="19"/>
      <c r="B65" s="110"/>
      <c r="C65" s="111"/>
      <c r="D65" s="111"/>
      <c r="E65" s="19"/>
      <c r="F65" s="19"/>
      <c r="G65" s="19"/>
      <c r="H65" s="98"/>
      <c r="J65" s="58"/>
      <c r="K65" s="58"/>
      <c r="L65" s="19"/>
    </row>
    <row r="66" spans="1:3" ht="12.75">
      <c r="A66" s="19"/>
      <c r="B66" s="19"/>
      <c r="C66" s="19"/>
    </row>
  </sheetData>
  <sheetProtection/>
  <mergeCells count="4">
    <mergeCell ref="B29:E29"/>
    <mergeCell ref="B48:E48"/>
    <mergeCell ref="B60:E60"/>
    <mergeCell ref="B56:E56"/>
  </mergeCells>
  <printOptions/>
  <pageMargins left="0.7874015748031497" right="0.7874015748031497" top="0.5" bottom="0.69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1.625" style="0" customWidth="1"/>
    <col min="2" max="2" width="7.125" style="33" customWidth="1"/>
    <col min="3" max="3" width="7.125" style="0" customWidth="1"/>
    <col min="4" max="4" width="7.875" style="0" customWidth="1"/>
    <col min="5" max="5" width="7.125" style="33" customWidth="1"/>
    <col min="6" max="6" width="10.25390625" style="0" customWidth="1"/>
    <col min="7" max="7" width="13.25390625" style="0" customWidth="1"/>
    <col min="8" max="8" width="8.25390625" style="33" customWidth="1"/>
    <col min="9" max="9" width="7.625" style="0" customWidth="1"/>
    <col min="10" max="11" width="9.25390625" style="0" customWidth="1"/>
    <col min="12" max="12" width="10.25390625" style="0" customWidth="1"/>
  </cols>
  <sheetData>
    <row r="3" ht="15.75" customHeight="1">
      <c r="L3" t="s">
        <v>156</v>
      </c>
    </row>
    <row r="4" spans="1:12" ht="12.75">
      <c r="A4" s="183" t="s">
        <v>24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ht="13.5" thickBot="1">
      <c r="A5" s="34"/>
    </row>
    <row r="6" spans="1:12" ht="13.5" thickBot="1">
      <c r="A6" s="8" t="s">
        <v>31</v>
      </c>
      <c r="B6" s="8" t="s">
        <v>33</v>
      </c>
      <c r="C6" s="4" t="s">
        <v>34</v>
      </c>
      <c r="D6" s="8" t="s">
        <v>96</v>
      </c>
      <c r="E6" s="6" t="s">
        <v>81</v>
      </c>
      <c r="F6" s="7"/>
      <c r="G6" s="1" t="s">
        <v>85</v>
      </c>
      <c r="H6" s="8" t="s">
        <v>88</v>
      </c>
      <c r="I6" s="60" t="s">
        <v>92</v>
      </c>
      <c r="J6" s="8" t="s">
        <v>91</v>
      </c>
      <c r="K6" s="181" t="s">
        <v>93</v>
      </c>
      <c r="L6" s="184"/>
    </row>
    <row r="7" spans="1:12" ht="12.75">
      <c r="A7" s="18" t="s">
        <v>32</v>
      </c>
      <c r="B7" s="18" t="s">
        <v>25</v>
      </c>
      <c r="C7" s="18" t="s">
        <v>35</v>
      </c>
      <c r="D7" s="18" t="s">
        <v>89</v>
      </c>
      <c r="E7" s="8" t="s">
        <v>22</v>
      </c>
      <c r="F7" s="4" t="s">
        <v>83</v>
      </c>
      <c r="G7" s="95" t="s">
        <v>87</v>
      </c>
      <c r="H7" s="18" t="s">
        <v>89</v>
      </c>
      <c r="I7" s="96" t="s">
        <v>22</v>
      </c>
      <c r="J7" s="18" t="s">
        <v>90</v>
      </c>
      <c r="K7" s="8" t="s">
        <v>29</v>
      </c>
      <c r="L7" s="4" t="s">
        <v>94</v>
      </c>
    </row>
    <row r="8" spans="1:12" ht="13.5" thickBot="1">
      <c r="A8" s="94"/>
      <c r="B8" s="11"/>
      <c r="C8" s="5" t="s">
        <v>26</v>
      </c>
      <c r="D8" s="11" t="s">
        <v>27</v>
      </c>
      <c r="E8" s="59" t="s">
        <v>82</v>
      </c>
      <c r="F8" s="5" t="s">
        <v>84</v>
      </c>
      <c r="G8" s="2" t="s">
        <v>86</v>
      </c>
      <c r="H8" s="11" t="s">
        <v>28</v>
      </c>
      <c r="I8" s="97" t="s">
        <v>28</v>
      </c>
      <c r="J8" s="11" t="s">
        <v>27</v>
      </c>
      <c r="K8" s="5"/>
      <c r="L8" s="5" t="s">
        <v>95</v>
      </c>
    </row>
    <row r="9" spans="1:12" ht="13.5" thickBot="1">
      <c r="A9" s="95" t="s">
        <v>130</v>
      </c>
      <c r="B9" s="8" t="s">
        <v>150</v>
      </c>
      <c r="C9" s="8">
        <v>4</v>
      </c>
      <c r="D9" s="8">
        <v>18000</v>
      </c>
      <c r="E9" s="55">
        <v>577.75</v>
      </c>
      <c r="F9" s="55">
        <f>D9*E9/1000</f>
        <v>10399.5</v>
      </c>
      <c r="G9" s="6" t="s">
        <v>152</v>
      </c>
      <c r="H9" s="8">
        <v>2</v>
      </c>
      <c r="I9" s="8">
        <f>H9*E9</f>
        <v>1155.5</v>
      </c>
      <c r="J9" s="56">
        <f>D9/H9</f>
        <v>9000</v>
      </c>
      <c r="K9" s="172">
        <f>2.9*1.36*0.4*2</f>
        <v>3.1552000000000002</v>
      </c>
      <c r="L9" s="55">
        <f>K9*J9</f>
        <v>28396.800000000003</v>
      </c>
    </row>
    <row r="10" spans="1:12" ht="13.5" thickBot="1">
      <c r="A10" s="178" t="s">
        <v>97</v>
      </c>
      <c r="B10" s="179"/>
      <c r="C10" s="179"/>
      <c r="D10" s="179"/>
      <c r="E10" s="182"/>
      <c r="F10" s="69">
        <f>SUM(F9:F9)</f>
        <v>10399.5</v>
      </c>
      <c r="G10" s="22"/>
      <c r="H10" s="64"/>
      <c r="I10" s="22"/>
      <c r="J10" s="67">
        <f>SUM(J9:J9)</f>
        <v>9000</v>
      </c>
      <c r="K10" s="173"/>
      <c r="L10" s="69">
        <f>SUM(L9:L9)</f>
        <v>28396.800000000003</v>
      </c>
    </row>
    <row r="11" spans="1:12" ht="13.5" thickBot="1">
      <c r="A11" s="95" t="s">
        <v>131</v>
      </c>
      <c r="B11" s="18" t="s">
        <v>150</v>
      </c>
      <c r="C11" s="18">
        <v>4</v>
      </c>
      <c r="D11" s="33">
        <v>18000</v>
      </c>
      <c r="E11" s="23">
        <v>417</v>
      </c>
      <c r="F11" s="24">
        <f>D11*E11/1000</f>
        <v>7506</v>
      </c>
      <c r="G11" s="5" t="s">
        <v>153</v>
      </c>
      <c r="H11" s="11">
        <v>2</v>
      </c>
      <c r="I11" s="171">
        <f>H11*E11</f>
        <v>834</v>
      </c>
      <c r="J11" s="57">
        <f>D11/H11</f>
        <v>9000</v>
      </c>
      <c r="K11" s="161">
        <f>2.58*1.7*0.4*2</f>
        <v>3.5088000000000004</v>
      </c>
      <c r="L11" s="24">
        <f>K11*J11</f>
        <v>31579.200000000004</v>
      </c>
    </row>
    <row r="12" spans="1:12" ht="13.5" thickBot="1">
      <c r="A12" s="178" t="s">
        <v>99</v>
      </c>
      <c r="B12" s="179"/>
      <c r="C12" s="179"/>
      <c r="D12" s="182"/>
      <c r="E12" s="169"/>
      <c r="F12" s="69">
        <f>SUM(F11:F11)</f>
        <v>7506</v>
      </c>
      <c r="G12" s="22"/>
      <c r="H12" s="60"/>
      <c r="I12" s="25"/>
      <c r="J12" s="67">
        <f>SUM(J11:J11)</f>
        <v>9000</v>
      </c>
      <c r="K12" s="173"/>
      <c r="L12" s="69">
        <f>SUM(L11:L11)</f>
        <v>31579.200000000004</v>
      </c>
    </row>
    <row r="13" spans="1:12" ht="13.5" thickBot="1">
      <c r="A13" s="95" t="s">
        <v>133</v>
      </c>
      <c r="B13" s="18" t="s">
        <v>151</v>
      </c>
      <c r="C13" s="58">
        <v>2</v>
      </c>
      <c r="D13" s="8">
        <v>18000</v>
      </c>
      <c r="E13" s="8">
        <v>70.6</v>
      </c>
      <c r="F13" s="17">
        <f aca="true" t="shared" si="0" ref="F13:F20">D13*E13/1000</f>
        <v>1270.8</v>
      </c>
      <c r="G13" s="1" t="s">
        <v>154</v>
      </c>
      <c r="H13" s="8">
        <v>4</v>
      </c>
      <c r="I13" s="32">
        <f>H13*E13</f>
        <v>282.4</v>
      </c>
      <c r="J13" s="57">
        <f>D13/H13</f>
        <v>4500</v>
      </c>
      <c r="K13" s="162">
        <f>1.295*1.07*0.45*2</f>
        <v>1.247085</v>
      </c>
      <c r="L13" s="24">
        <f>K13*J13</f>
        <v>5611.8825</v>
      </c>
    </row>
    <row r="14" spans="1:12" ht="13.5" thickBot="1">
      <c r="A14" s="95" t="s">
        <v>134</v>
      </c>
      <c r="B14" s="18" t="s">
        <v>151</v>
      </c>
      <c r="C14" s="58">
        <v>3</v>
      </c>
      <c r="D14" s="18">
        <v>18000</v>
      </c>
      <c r="E14" s="18">
        <v>181.8</v>
      </c>
      <c r="F14" s="17">
        <f t="shared" si="0"/>
        <v>3272.4</v>
      </c>
      <c r="G14" s="95" t="s">
        <v>154</v>
      </c>
      <c r="H14" s="18">
        <v>2</v>
      </c>
      <c r="I14" s="11">
        <f>H14*E14</f>
        <v>363.6</v>
      </c>
      <c r="J14" s="57">
        <f>D14/H14</f>
        <v>9000</v>
      </c>
      <c r="K14" s="162">
        <f>1.295*1.07*0.45*2</f>
        <v>1.247085</v>
      </c>
      <c r="L14" s="24">
        <f>K14*J14</f>
        <v>11223.765</v>
      </c>
    </row>
    <row r="15" spans="1:12" ht="13.5" thickBot="1">
      <c r="A15" s="95" t="s">
        <v>136</v>
      </c>
      <c r="B15" s="18" t="s">
        <v>201</v>
      </c>
      <c r="C15" s="58">
        <v>2</v>
      </c>
      <c r="D15" s="11">
        <v>18000</v>
      </c>
      <c r="E15" s="23">
        <v>87.9</v>
      </c>
      <c r="F15" s="10">
        <f t="shared" si="0"/>
        <v>1582.2</v>
      </c>
      <c r="G15" s="2" t="s">
        <v>154</v>
      </c>
      <c r="H15" s="11">
        <v>4</v>
      </c>
      <c r="I15" s="11">
        <f>H15*E15</f>
        <v>351.6</v>
      </c>
      <c r="J15" s="135">
        <f>D15/H15</f>
        <v>4500</v>
      </c>
      <c r="K15" s="162">
        <f>1.295*1.07*0.45*2</f>
        <v>1.247085</v>
      </c>
      <c r="L15" s="24">
        <f>K15*J15</f>
        <v>5611.8825</v>
      </c>
    </row>
    <row r="16" spans="1:12" ht="13.5" thickBot="1">
      <c r="A16" s="178" t="s">
        <v>100</v>
      </c>
      <c r="B16" s="179"/>
      <c r="C16" s="179"/>
      <c r="D16" s="179"/>
      <c r="E16" s="182"/>
      <c r="F16" s="8">
        <f>SUM(F13:F15)</f>
        <v>6125.4</v>
      </c>
      <c r="G16" s="22"/>
      <c r="H16" s="58"/>
      <c r="I16" s="19"/>
      <c r="J16" s="67">
        <f>SUM(J13:J15)</f>
        <v>18000</v>
      </c>
      <c r="K16" s="173"/>
      <c r="L16" s="69">
        <f>SUM(L13:L15)</f>
        <v>22447.53</v>
      </c>
    </row>
    <row r="17" spans="1:12" ht="13.5" thickBot="1">
      <c r="A17" s="95" t="s">
        <v>209</v>
      </c>
      <c r="B17" s="18" t="s">
        <v>150</v>
      </c>
      <c r="C17" s="16">
        <v>2</v>
      </c>
      <c r="D17" s="8">
        <v>17625</v>
      </c>
      <c r="E17" s="174">
        <v>16</v>
      </c>
      <c r="F17" s="175">
        <f t="shared" si="0"/>
        <v>282</v>
      </c>
      <c r="G17" s="4" t="s">
        <v>155</v>
      </c>
      <c r="H17" s="7">
        <v>4</v>
      </c>
      <c r="I17" s="170">
        <f>H17*E17</f>
        <v>64</v>
      </c>
      <c r="J17" s="57">
        <f>D17/H17</f>
        <v>4406.25</v>
      </c>
      <c r="K17" s="162">
        <f>1.38*1.34*0.41*2</f>
        <v>1.516344</v>
      </c>
      <c r="L17" s="24">
        <f>K17*J17</f>
        <v>6681.39075</v>
      </c>
    </row>
    <row r="18" spans="1:12" ht="13.5" thickBot="1">
      <c r="A18" s="95" t="s">
        <v>129</v>
      </c>
      <c r="B18" s="18" t="s">
        <v>150</v>
      </c>
      <c r="C18" s="16">
        <v>3</v>
      </c>
      <c r="D18" s="18">
        <v>18000</v>
      </c>
      <c r="E18" s="58">
        <v>109.75</v>
      </c>
      <c r="F18" s="18">
        <f t="shared" si="0"/>
        <v>1975.5</v>
      </c>
      <c r="G18" s="54" t="s">
        <v>155</v>
      </c>
      <c r="H18" s="17">
        <v>3</v>
      </c>
      <c r="I18" s="11">
        <f>H18*E18</f>
        <v>329.25</v>
      </c>
      <c r="J18" s="57">
        <f>D18/H18</f>
        <v>6000</v>
      </c>
      <c r="K18" s="162">
        <f>1.38*1.34*0.41*2</f>
        <v>1.516344</v>
      </c>
      <c r="L18" s="24">
        <f>K18*J18</f>
        <v>9098.064</v>
      </c>
    </row>
    <row r="19" spans="1:12" ht="13.5" thickBot="1">
      <c r="A19" s="95" t="s">
        <v>132</v>
      </c>
      <c r="B19" s="18" t="s">
        <v>150</v>
      </c>
      <c r="C19" s="16">
        <v>3</v>
      </c>
      <c r="D19" s="18">
        <v>18000</v>
      </c>
      <c r="E19" s="58">
        <v>130.2</v>
      </c>
      <c r="F19" s="18">
        <f t="shared" si="0"/>
        <v>2343.6</v>
      </c>
      <c r="G19" s="54" t="s">
        <v>155</v>
      </c>
      <c r="H19" s="17">
        <v>2</v>
      </c>
      <c r="I19" s="11">
        <f>H19*E19</f>
        <v>260.4</v>
      </c>
      <c r="J19" s="57">
        <f>D19/H19</f>
        <v>9000</v>
      </c>
      <c r="K19" s="162">
        <f>1.38*1.34*0.41*2</f>
        <v>1.516344</v>
      </c>
      <c r="L19" s="24">
        <f>K19*J19</f>
        <v>13647.096</v>
      </c>
    </row>
    <row r="20" spans="1:15" ht="13.5" thickBot="1">
      <c r="A20" s="95" t="s">
        <v>135</v>
      </c>
      <c r="B20" s="18" t="s">
        <v>201</v>
      </c>
      <c r="C20" s="16">
        <v>2</v>
      </c>
      <c r="D20" s="11">
        <v>18000</v>
      </c>
      <c r="E20" s="28">
        <v>76</v>
      </c>
      <c r="F20" s="11">
        <f t="shared" si="0"/>
        <v>1368</v>
      </c>
      <c r="G20" s="5" t="s">
        <v>155</v>
      </c>
      <c r="H20" s="10">
        <v>4</v>
      </c>
      <c r="I20" s="11">
        <f>H20*E20</f>
        <v>304</v>
      </c>
      <c r="J20" s="135">
        <f>D20/H20</f>
        <v>4500</v>
      </c>
      <c r="K20" s="162">
        <f>1.38*1.34*0.41*2</f>
        <v>1.516344</v>
      </c>
      <c r="L20" s="24">
        <f>K20*J20</f>
        <v>6823.548</v>
      </c>
      <c r="N20" s="19"/>
      <c r="O20" s="19"/>
    </row>
    <row r="21" spans="1:15" ht="13.5" thickBot="1">
      <c r="A21" s="178" t="s">
        <v>191</v>
      </c>
      <c r="B21" s="179"/>
      <c r="C21" s="179"/>
      <c r="D21" s="179"/>
      <c r="E21" s="182"/>
      <c r="F21" s="32">
        <f>SUM(F17:F20)</f>
        <v>5969.1</v>
      </c>
      <c r="G21" s="22"/>
      <c r="H21" s="61"/>
      <c r="I21" s="20"/>
      <c r="J21" s="67">
        <f>SUM(J17:J20)</f>
        <v>23906.25</v>
      </c>
      <c r="K21" s="22"/>
      <c r="L21" s="69">
        <f>SUM(L17:L20)</f>
        <v>36250.098750000005</v>
      </c>
      <c r="N21" s="19"/>
      <c r="O21" s="19"/>
    </row>
    <row r="22" spans="1:12" ht="13.5" thickBot="1">
      <c r="A22" s="14"/>
      <c r="B22" s="64" t="s">
        <v>10</v>
      </c>
      <c r="C22" s="22"/>
      <c r="D22" s="22"/>
      <c r="E22" s="64"/>
      <c r="F22" s="69">
        <f>F10+F12+F16+F21</f>
        <v>30000</v>
      </c>
      <c r="G22" s="22"/>
      <c r="H22" s="64"/>
      <c r="I22" s="22"/>
      <c r="J22" s="67">
        <f>J10+J12+J16+J21</f>
        <v>59906.25</v>
      </c>
      <c r="K22" s="22"/>
      <c r="L22" s="69">
        <f>L10+L12+L16+L21</f>
        <v>118673.62875</v>
      </c>
    </row>
    <row r="25" ht="12.75">
      <c r="F25" s="33"/>
    </row>
    <row r="27" ht="12.75">
      <c r="H27" s="96"/>
    </row>
  </sheetData>
  <sheetProtection/>
  <mergeCells count="6">
    <mergeCell ref="A16:E16"/>
    <mergeCell ref="A21:E21"/>
    <mergeCell ref="A4:L4"/>
    <mergeCell ref="K6:L6"/>
    <mergeCell ref="A12:D12"/>
    <mergeCell ref="A10:E10"/>
  </mergeCells>
  <printOptions/>
  <pageMargins left="1.7" right="0.7874015748031497" top="1.7" bottom="0.984251968503937" header="0.5118110236220472" footer="0.5118110236220472"/>
  <pageSetup horizontalDpi="300" verticalDpi="300" orientation="landscape" paperSize="9" r:id="rId1"/>
  <ignoredErrors>
    <ignoredError sqref="L11:L12 L10 J10:J11 J12 J16 L16 F10:F11 F12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</dc:creator>
  <cp:keywords/>
  <dc:description/>
  <cp:lastModifiedBy>LPiM</cp:lastModifiedBy>
  <cp:lastPrinted>2006-09-03T18:31:13Z</cp:lastPrinted>
  <dcterms:created xsi:type="dcterms:W3CDTF">2002-10-07T11:09:33Z</dcterms:created>
  <dcterms:modified xsi:type="dcterms:W3CDTF">2010-06-21T16:11:45Z</dcterms:modified>
  <cp:category/>
  <cp:version/>
  <cp:contentType/>
  <cp:contentStatus/>
</cp:coreProperties>
</file>